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YI1V96Evc6uUhTBIQqxvtTAHijyYKUl5uWAT9LgmaDk8N273HE0bq/A0fEXmtWsliV7+xat3mJ/NaxeNXLxeOw==" workbookSaltValue="IfLEYsp03Ex3bGQPDGK+B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F11" i="16" s="1"/>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E11" i="13"/>
  <c r="B13" i="7"/>
  <c r="AB19" i="19"/>
  <c r="ER19" i="8"/>
  <c r="EQ19" i="8"/>
  <c r="BA13" i="16"/>
  <c r="AC17" i="11"/>
  <c r="G18" i="12"/>
  <c r="W19" i="13"/>
  <c r="AL13" i="16"/>
  <c r="S13" i="16"/>
  <c r="P13" i="16"/>
  <c r="AN13" i="20"/>
  <c r="M18" i="2"/>
  <c r="T19" i="8"/>
  <c r="T13" i="12"/>
  <c r="BU11" i="17"/>
  <c r="BU10" i="17"/>
  <c r="BW12" i="20"/>
  <c r="BW11" i="20"/>
  <c r="BW10" i="20"/>
  <c r="BU12" i="17"/>
  <c r="X15" i="17"/>
  <c r="Q17" i="17"/>
  <c r="BI9" i="11"/>
  <c r="S10" i="17"/>
  <c r="Q15" i="17"/>
  <c r="BF15" i="11"/>
  <c r="AQ12" i="21"/>
  <c r="BL16" i="11"/>
  <c r="I19" i="8"/>
  <c r="X15" i="16"/>
  <c r="X18" i="16" s="1"/>
  <c r="T13" i="20"/>
  <c r="T13" i="16"/>
  <c r="AP13" i="16"/>
  <c r="BG15" i="13"/>
  <c r="J20" i="20"/>
  <c r="AF20" i="20"/>
  <c r="M20" i="20"/>
  <c r="AG20" i="20"/>
  <c r="S20" i="20"/>
  <c r="Z20" i="20"/>
  <c r="AM20" i="20"/>
  <c r="AK20" i="20"/>
  <c r="F20" i="20"/>
  <c r="K20" i="20"/>
  <c r="W20" i="21"/>
  <c r="AN17" i="11" l="1"/>
  <c r="G17" i="3"/>
  <c r="Z19" i="8"/>
  <c r="AH19" i="8"/>
  <c r="AR18" i="11"/>
  <c r="E18" i="12"/>
  <c r="D18" i="12"/>
  <c r="AH13" i="16"/>
  <c r="Z13" i="17"/>
  <c r="H13" i="12"/>
  <c r="I12" i="3"/>
  <c r="E12" i="3"/>
  <c r="D13" i="7"/>
  <c r="C19" i="3"/>
  <c r="AA19" i="8"/>
  <c r="BG9" i="8"/>
  <c r="D17" i="6"/>
  <c r="G18" i="2"/>
  <c r="X12" i="21"/>
  <c r="BH11" i="16"/>
  <c r="BH17" i="16"/>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BM9" i="11"/>
  <c r="BH12" i="16"/>
  <c r="BK10" i="11"/>
  <c r="L17" i="2"/>
  <c r="L9" i="2"/>
  <c r="AA9" i="16"/>
  <c r="BF11" i="11"/>
  <c r="BL9" i="11"/>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S17" i="17"/>
  <c r="U9" i="17"/>
  <c r="U19" i="17" s="1"/>
  <c r="V9" i="16"/>
  <c r="V10" i="16"/>
  <c r="L15" i="2"/>
  <c r="S15" i="17"/>
  <c r="BJ16" i="11"/>
  <c r="BH16" i="11"/>
  <c r="BM17" i="11"/>
  <c r="BH10" i="16"/>
  <c r="AQ10" i="21"/>
  <c r="BH10" i="11"/>
  <c r="BG12" i="11"/>
  <c r="AA17" i="16"/>
  <c r="S11" i="17"/>
  <c r="U10" i="17"/>
  <c r="BV11" i="16"/>
  <c r="BV12" i="16"/>
  <c r="BV17" i="16"/>
  <c r="BD12" i="13"/>
  <c r="BG12" i="8"/>
  <c r="BD15" i="13"/>
  <c r="BF16" i="13"/>
  <c r="BG16" i="13"/>
  <c r="BD16" i="13"/>
  <c r="BE15" i="13"/>
  <c r="BE16" i="13"/>
  <c r="BA13" i="8"/>
  <c r="BF12" i="8"/>
  <c r="AY13" i="8"/>
  <c r="BE9" i="8"/>
  <c r="AC12" i="11"/>
  <c r="BD11" i="13"/>
  <c r="BB13" i="13"/>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K9" i="12" l="1"/>
  <c r="AZ13" i="11"/>
  <c r="Q9" i="11"/>
  <c r="J15" i="12"/>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X20" i="20"/>
  <c r="AV20" i="21"/>
  <c r="AB20" i="20"/>
  <c r="O20" i="20"/>
  <c r="H20" i="20"/>
  <c r="O16" i="11"/>
  <c r="H20" i="17"/>
  <c r="N20" i="20"/>
  <c r="AW20" i="1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<sst xmlns="http://schemas.openxmlformats.org/spreadsheetml/2006/main" count="2066" uniqueCount="906">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</sst>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903</v>
      </c>
      <c r="C10" s="375"/>
      <c r="D10" s="375"/>
      <c r="E10" s="384"/>
      <c r="F10" s="3"/>
      <c r="Q10" s="349">
        <v>0</v>
      </c>
    </row>
    <row r="11" spans="1:19" ht="13.5" thickBot="1">
      <c r="A11" s="385" t="s">
        <v>904</v>
      </c>
      <c r="B11" s="386" t="s">
        <v>905</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03+MHhteJZAivwQD8cqW3C/b8mlJzIIaTB0u4eAEBbzQDmZZ8nbj/NQBmWioDSrtHv0UrxowUpiMxdSIj4gm5Q==" saltValue="yBAehxrMHGmlFqUx5rs9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14.509570287742427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171</v>
      </c>
      <c r="D10" s="228">
        <f>IF(ISNUMBER(Datos!I10),Datos!I10," - ")</f>
        <v>171</v>
      </c>
      <c r="E10" s="229">
        <f>IF(ISNUMBER(Datos!J10),Datos!J10," - ")</f>
        <v>178</v>
      </c>
      <c r="F10" s="229">
        <f>IF(ISNUMBER(Datos!K10),Datos!K10," - ")</f>
        <v>132</v>
      </c>
      <c r="G10" s="1037" t="str">
        <f>IF(Datos!E10&lt;&gt;"",Datos!E10,Datos!D10)</f>
        <v>37</v>
      </c>
      <c r="H10" s="230">
        <f>IF(ISNUMBER(Datos!L10),Datos!L10," - ")</f>
        <v>217</v>
      </c>
      <c r="I10" s="1047" t="str">
        <f>IF(ISNUMBER(Datos!AS10/Datos!BM10),Datos!AS10/Datos!BM10," - ")</f>
        <v xml:space="preserve"> - </v>
      </c>
      <c r="J10" s="1048">
        <f>IF(ISNUMBER(Datos!BY10/Datos!CN10),Datos!BY10/Datos!CN10," - ")</f>
        <v>0</v>
      </c>
      <c r="K10" s="233">
        <f t="shared" ref="K10:K12" si="1">IF(ISNUMBER((E10-F10)/C10),(E10-F10)/C10," - ")</f>
        <v>0.26900584795321636</v>
      </c>
      <c r="L10" s="1028">
        <f>IF(ISNUMBER(NºAsuntos!I10/NºAsuntos!G10),(NºAsuntos!I10/NºAsuntos!G10)*11," - ")</f>
        <v>18.083333333333336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171</v>
      </c>
      <c r="D13" s="1052">
        <f>SUBTOTAL(9,D9:D12)</f>
        <v>171</v>
      </c>
      <c r="E13" s="1053">
        <f>SUBTOTAL(9,E9:E12)</f>
        <v>178</v>
      </c>
      <c r="F13" s="1054">
        <f>SUBTOTAL(9,F9:F12)</f>
        <v>132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2430</v>
      </c>
      <c r="D15" s="228">
        <f>IF(ISNUMBER(IF(D_I="SI",Datos!I15,Datos!I15+Datos!AC15)),IF(D_I="SI",Datos!I15,Datos!I15+Datos!AC15)," - ")</f>
        <v>2334</v>
      </c>
      <c r="E15" s="229">
        <f>IF(ISNUMBER(IF(D_I="SI",Datos!J15,Datos!J15+Datos!AD15)),IF(D_I="SI",Datos!J15,Datos!J15+Datos!AD15)," - ")</f>
        <v>9215</v>
      </c>
      <c r="F15" s="229">
        <f>IF(ISNUMBER(IF(D_I="SI",Datos!K15,Datos!K15+Datos!AE15)),IF(D_I="SI",Datos!K15,Datos!K15+Datos!AE15)," - ")</f>
        <v>8512</v>
      </c>
      <c r="G15" s="1037" t="str">
        <f>IF(Datos!E15&lt;&gt;"",Datos!E15,Datos!D15)</f>
        <v>03</v>
      </c>
      <c r="H15" s="230">
        <f>IF(ISNUMBER(IF(D_I="SI",Datos!L15,Datos!L15+Datos!AF15)),IF(D_I="SI",Datos!L15,Datos!L15+Datos!AF15)," - ")</f>
        <v>3133</v>
      </c>
      <c r="I15" s="1047" t="str">
        <f>IF(ISNUMBER(Datos!AS15/Datos!BM15),Datos!AS15/Datos!BM15," - ")</f>
        <v xml:space="preserve"> - </v>
      </c>
      <c r="J15" s="1048">
        <f>IF(ISNUMBER(Datos!BY15/Datos!CN15),Datos!BY15/Datos!CN15," - ")</f>
        <v>0</v>
      </c>
      <c r="K15" s="233">
        <f t="shared" ref="K15:K17" si="3">IF(ISNUMBER((E15-F15)/C15),(E15-F15)/C15," - ")</f>
        <v>0.28930041152263375</v>
      </c>
      <c r="L15" s="1028">
        <f>IF(ISNUMBER(NºAsuntos!I15/NºAsuntos!G15),(NºAsuntos!I15/NºAsuntos!G15)*11," - ")</f>
        <v>4.0487546992481205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0</v>
      </c>
      <c r="D16" s="228">
        <f>IF(ISNUMBER(IF(D_I="SI",Datos!I16,Datos!I16+Datos!AC16)),IF(D_I="SI",Datos!I16,Datos!I16+Datos!AC16)," - ")</f>
        <v>0</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0</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273</v>
      </c>
      <c r="D17" s="228">
        <f>IF(ISNUMBER(IF(D_I="SI",Datos!I17,Datos!I17+Datos!AC17)),IF(D_I="SI",Datos!I17,Datos!I17+Datos!AC17)," - ")</f>
        <v>273</v>
      </c>
      <c r="E17" s="229">
        <f>IF(ISNUMBER(IF(D_I="SI",Datos!J17,Datos!J17+Datos!AD17)),IF(D_I="SI",Datos!J17,Datos!J17+Datos!AD17)," - ")</f>
        <v>1530</v>
      </c>
      <c r="F17" s="229">
        <f>IF(ISNUMBER(IF(D_I="SI",Datos!K17,Datos!K17+Datos!AE17)),IF(D_I="SI",Datos!K17,Datos!K17+Datos!AE17)," - ")</f>
        <v>1435</v>
      </c>
      <c r="G17" s="1037" t="str">
        <f>IF(Datos!E17&lt;&gt;"",Datos!E17,Datos!D17)</f>
        <v>37</v>
      </c>
      <c r="H17" s="230">
        <f>IF(ISNUMBER(IF(D_I="SI",Datos!L17,Datos!L17+Datos!AF17)),IF(D_I="SI",Datos!L17,Datos!L17+Datos!AF17)," - ")</f>
        <v>368</v>
      </c>
      <c r="I17" s="1047" t="str">
        <f>IF(ISNUMBER(Datos!AS17/Datos!BM17),Datos!AS17/Datos!BM17," - ")</f>
        <v xml:space="preserve"> - </v>
      </c>
      <c r="J17" s="1048" t="str">
        <f>IF(ISNUMBER((Datos!BY17+Datos!BZ17)/Datos!CN17),(Datos!BY17+Datos!BZ17)/Datos!CN17," - ")</f>
        <v xml:space="preserve"> - </v>
      </c>
      <c r="K17" s="233">
        <f t="shared" si="3"/>
        <v>0.34798534798534797</v>
      </c>
      <c r="L17" s="1028">
        <f>IF(ISNUMBER(NºAsuntos!I17/NºAsuntos!G17),(NºAsuntos!I17/NºAsuntos!G17)*11," - ")</f>
        <v>2.8209059233449478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2703</v>
      </c>
      <c r="D18" s="1052">
        <f>SUBTOTAL(9,D15:D17)</f>
        <v>2607</v>
      </c>
      <c r="E18" s="1053">
        <f>SUBTOTAL(9,E15:E17)</f>
        <v>10745</v>
      </c>
      <c r="F18" s="1053">
        <f>SUBTOTAL(9,F15:F17)</f>
        <v>9947</v>
      </c>
      <c r="G18" s="1055" t="str">
        <f ca="1">INDIRECT(CONCATENATE("G",ROW()-1))</f>
        <v>37</v>
      </c>
      <c r="H18" s="1056">
        <f ca="1">SUMIF(G$14:G17,G18,H$14:H17)</f>
        <v>368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2874</v>
      </c>
      <c r="D19" s="1074">
        <f>SUBTOTAL(9,D9:D18)</f>
        <v>2778</v>
      </c>
      <c r="E19" s="1075">
        <f>SUBTOTAL(9,E9:E18)</f>
        <v>10923</v>
      </c>
      <c r="F19" s="1075">
        <f>SUBTOTAL(9,F9:F18)</f>
        <v>10079</v>
      </c>
      <c r="G19" s="1076"/>
      <c r="H19" s="1077">
        <f ca="1">SUMIF(B9:B18,"TOTAL",H9:H18)</f>
        <v>368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rb/ttps+j//RCgcmHYH9ekOMQiOGS+5O0xfsHgeqi5ZbsUcoNJVSR8CosWgTB8zmSjWZGjRFT9m8/XBNqULpWw==" saltValue="jWj8Z/HbKweVY09V1Nsz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B3BJxz9bLGhAoDhFNkeWrz0Pk0aNM0pTRu8tm51mGrhbXsB5+Nl02cLJCjjQOt72VkuflQmiNrDTwieQFxUHQ==" saltValue="5GzKGr7p4BrxxbVFwMBV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7408</v>
      </c>
      <c r="J9" s="184">
        <v>9756</v>
      </c>
      <c r="K9" s="184">
        <v>7083</v>
      </c>
      <c r="L9" s="184">
        <v>10086</v>
      </c>
      <c r="M9" s="184">
        <v>1477</v>
      </c>
      <c r="N9" s="184">
        <v>3475</v>
      </c>
      <c r="O9" s="184">
        <v>4438</v>
      </c>
      <c r="P9" s="184">
        <v>2461</v>
      </c>
      <c r="Q9" s="184">
        <v>2499</v>
      </c>
      <c r="R9" s="184">
        <v>15063</v>
      </c>
      <c r="S9" s="184">
        <v>5657</v>
      </c>
      <c r="T9" s="184">
        <v>9350</v>
      </c>
      <c r="U9" s="184">
        <v>7711</v>
      </c>
      <c r="V9" s="184">
        <v>7408</v>
      </c>
      <c r="W9" s="184">
        <v>1758</v>
      </c>
      <c r="X9" s="191">
        <v>3717</v>
      </c>
      <c r="Y9" s="194">
        <v>338</v>
      </c>
      <c r="Z9" s="184">
        <v>794</v>
      </c>
      <c r="AA9" s="184">
        <v>806</v>
      </c>
      <c r="AB9" s="184">
        <v>320</v>
      </c>
      <c r="AC9" s="184">
        <v>0</v>
      </c>
      <c r="AD9" s="184">
        <v>0</v>
      </c>
      <c r="AE9" s="184">
        <v>0</v>
      </c>
      <c r="AF9" s="191">
        <v>0</v>
      </c>
      <c r="AG9" s="194">
        <v>319</v>
      </c>
      <c r="AH9" s="184">
        <v>919</v>
      </c>
      <c r="AI9" s="184">
        <v>913</v>
      </c>
      <c r="AJ9" s="195">
        <v>338</v>
      </c>
      <c r="AK9" s="183">
        <v>0</v>
      </c>
      <c r="AL9" s="184">
        <v>0</v>
      </c>
      <c r="AM9" s="184">
        <v>0</v>
      </c>
      <c r="AN9" s="191">
        <v>0</v>
      </c>
      <c r="AO9" s="261">
        <v>6</v>
      </c>
      <c r="AP9" s="157">
        <v>6</v>
      </c>
      <c r="AQ9" s="157">
        <v>6</v>
      </c>
      <c r="AR9" s="196">
        <v>6</v>
      </c>
      <c r="AS9" s="341" t="s">
        <v>792</v>
      </c>
      <c r="AT9" s="198"/>
      <c r="AU9" s="197"/>
      <c r="AV9" s="198"/>
      <c r="AW9" s="197"/>
      <c r="AX9" s="198"/>
      <c r="AY9" s="123">
        <f>IF(ISNUMBER(IF(J_V="SI",S9,S9+AG9)),IF(J_V="SI",S9,S9+AG9)," - ")</f>
        <v>5976</v>
      </c>
      <c r="AZ9" s="123">
        <f>IF(ISNUMBER(IF(J_V="SI",T9,T9+AH9)),IF(J_V="SI",T9,T9+AH9)," - ")</f>
        <v>10269</v>
      </c>
      <c r="BA9" s="124">
        <f>IF(ISNUMBER(IF(J_V="SI",U9,U9+AI9)),IF(J_V="SI",U9,U9+AI9)," - ")</f>
        <v>8624</v>
      </c>
      <c r="BB9" s="124">
        <f>IF(ISNUMBER(IF(J_V="SI",V9,V9+AJ9)),IF(J_V="SI",V9,V9+AJ9)," - ")</f>
        <v>7746</v>
      </c>
      <c r="BC9" s="125">
        <f>IF(ISNUMBER(X9),X9," - ")</f>
        <v>3717</v>
      </c>
      <c r="BD9" s="126">
        <f>IF(ISNUMBER(BA9/AZ9),BA9/AZ9," - ")</f>
        <v>0.83980913428766191</v>
      </c>
      <c r="BE9" s="127">
        <f>IF(ISNUMBER(BB9/BA9),BB9/BA9, " - ")</f>
        <v>0.89819109461966606</v>
      </c>
      <c r="BF9" s="127">
        <f>IF(ISNUMBER(BC9/BA9),BC9/BA9, " - ")</f>
        <v>0.4310064935064935</v>
      </c>
      <c r="BG9" s="199">
        <f>IF(ISNUMBER((AY9+AZ9)/BA9),(AY9+AZ9)/BA9," - ")</f>
        <v>1.8836966604823748</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171</v>
      </c>
      <c r="J10" s="184">
        <v>178</v>
      </c>
      <c r="K10" s="184">
        <v>132</v>
      </c>
      <c r="L10" s="184">
        <v>217</v>
      </c>
      <c r="M10" s="184">
        <v>44</v>
      </c>
      <c r="N10" s="184">
        <v>62</v>
      </c>
      <c r="O10" s="184">
        <v>24</v>
      </c>
      <c r="P10" s="184">
        <v>42</v>
      </c>
      <c r="Q10" s="184">
        <v>87</v>
      </c>
      <c r="R10" s="184">
        <v>140</v>
      </c>
      <c r="S10" s="184">
        <v>114</v>
      </c>
      <c r="T10" s="184">
        <v>201</v>
      </c>
      <c r="U10" s="184">
        <v>144</v>
      </c>
      <c r="V10" s="184">
        <v>171</v>
      </c>
      <c r="W10" s="184">
        <v>56</v>
      </c>
      <c r="X10" s="191">
        <v>63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786</v>
      </c>
      <c r="AT10" s="195"/>
      <c r="AU10" s="203"/>
      <c r="AV10" s="195"/>
      <c r="AW10" s="203"/>
      <c r="AX10" s="195"/>
      <c r="AY10" s="128">
        <f t="shared" ref="AY10:BC10" si="0">IF(ISNUMBER(S10),S10," - ")</f>
        <v>114</v>
      </c>
      <c r="AZ10" s="129">
        <f t="shared" si="0"/>
        <v>201</v>
      </c>
      <c r="BA10" s="129">
        <f t="shared" si="0"/>
        <v>144</v>
      </c>
      <c r="BB10" s="129">
        <f t="shared" si="0"/>
        <v>171</v>
      </c>
      <c r="BC10" s="125">
        <f t="shared" si="0"/>
        <v>56</v>
      </c>
      <c r="BD10" s="126">
        <f>IF(ISNUMBER(BA10/AZ10),BA10/AZ10," - ")</f>
        <v>0.71641791044776115</v>
      </c>
      <c r="BE10" s="127">
        <f>IF(ISNUMBER(BB10/BA10),BB10/BA10, " - ")</f>
        <v>1.1875</v>
      </c>
      <c r="BF10" s="127">
        <f>IF(ISNUMBER(BC10/BA10),BC10/BA10, " - ")</f>
        <v>0.3888888888888889</v>
      </c>
      <c r="BG10" s="199">
        <f>IF(ISNUMBER((AY10+AZ10)/BA10),(AY10+AZ10)/BA10," - ")</f>
        <v>2.1875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799</v>
      </c>
      <c r="J11" s="186" t="s">
        <v>793</v>
      </c>
      <c r="K11" s="186" t="s">
        <v>844</v>
      </c>
      <c r="L11" s="186" t="s">
        <v>804</v>
      </c>
      <c r="M11" s="186" t="s">
        <v>483</v>
      </c>
      <c r="N11" s="186" t="s">
        <v>497</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794</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0</v>
      </c>
      <c r="J12" s="186">
        <v>0</v>
      </c>
      <c r="K12" s="186">
        <v>0</v>
      </c>
      <c r="L12" s="186">
        <v>0</v>
      </c>
      <c r="M12" s="186">
        <v>0</v>
      </c>
      <c r="N12" s="186">
        <v>0</v>
      </c>
      <c r="O12" s="184">
        <v>13</v>
      </c>
      <c r="P12" s="186">
        <v>0</v>
      </c>
      <c r="Q12" s="186">
        <v>13</v>
      </c>
      <c r="R12" s="186">
        <v>0</v>
      </c>
      <c r="S12" s="186">
        <v>3</v>
      </c>
      <c r="T12" s="186">
        <v>0</v>
      </c>
      <c r="U12" s="186">
        <v>2</v>
      </c>
      <c r="V12" s="186">
        <v>0</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795</v>
      </c>
      <c r="AT12" s="206"/>
      <c r="AU12" s="205"/>
      <c r="AV12" s="206"/>
      <c r="AW12" s="205"/>
      <c r="AX12" s="206"/>
      <c r="AY12" s="126">
        <f t="shared" si="1"/>
        <v>3</v>
      </c>
      <c r="AZ12" s="127">
        <f t="shared" si="1"/>
        <v>0</v>
      </c>
      <c r="BA12" s="127">
        <f t="shared" si="1"/>
        <v>2</v>
      </c>
      <c r="BB12" s="127">
        <f t="shared" si="1"/>
        <v>0</v>
      </c>
      <c r="BC12" s="125">
        <f>IF(ISNUMBER(X12),X12," - ")</f>
        <v>0</v>
      </c>
      <c r="BD12" s="126" t="str">
        <f t="shared" si="2"/>
        <v xml:space="preserve"> - </v>
      </c>
      <c r="BE12" s="127">
        <f t="shared" si="3"/>
        <v>0</v>
      </c>
      <c r="BF12" s="127">
        <f t="shared" si="4"/>
        <v>0</v>
      </c>
      <c r="BG12" s="199">
        <f t="shared" si="5"/>
        <v>1.5</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7579</v>
      </c>
      <c r="J13" s="187">
        <f t="shared" si="6"/>
        <v>9934</v>
      </c>
      <c r="K13" s="187">
        <f t="shared" si="6"/>
        <v>7215</v>
      </c>
      <c r="L13" s="187">
        <f t="shared" si="6"/>
        <v>10303</v>
      </c>
      <c r="M13" s="187">
        <f t="shared" si="6"/>
        <v>1521</v>
      </c>
      <c r="N13" s="187">
        <f t="shared" si="6"/>
        <v>3537</v>
      </c>
      <c r="O13" s="187">
        <f t="shared" si="6"/>
        <v>4475</v>
      </c>
      <c r="P13" s="187">
        <f t="shared" si="6"/>
        <v>2503</v>
      </c>
      <c r="Q13" s="187">
        <f t="shared" si="6"/>
        <v>2599</v>
      </c>
      <c r="R13" s="187">
        <f t="shared" si="6"/>
        <v>15203</v>
      </c>
      <c r="S13" s="187">
        <f t="shared" si="6"/>
        <v>5774</v>
      </c>
      <c r="T13" s="187">
        <f t="shared" si="6"/>
        <v>9551</v>
      </c>
      <c r="U13" s="187">
        <f t="shared" si="6"/>
        <v>7857</v>
      </c>
      <c r="V13" s="187">
        <f t="shared" si="6"/>
        <v>7579</v>
      </c>
      <c r="W13" s="187">
        <f t="shared" si="6"/>
        <v>1814</v>
      </c>
      <c r="X13" s="187">
        <f t="shared" si="6"/>
        <v>3780</v>
      </c>
      <c r="Y13" s="187">
        <f t="shared" si="6"/>
        <v>338</v>
      </c>
      <c r="Z13" s="187">
        <f t="shared" si="6"/>
        <v>794</v>
      </c>
      <c r="AA13" s="187">
        <f t="shared" si="6"/>
        <v>806</v>
      </c>
      <c r="AB13" s="187">
        <f t="shared" si="6"/>
        <v>320</v>
      </c>
      <c r="AC13" s="187">
        <f t="shared" si="6"/>
        <v>0</v>
      </c>
      <c r="AD13" s="187">
        <f t="shared" si="6"/>
        <v>0</v>
      </c>
      <c r="AE13" s="187">
        <f t="shared" si="6"/>
        <v>0</v>
      </c>
      <c r="AF13" s="187">
        <f>SUBTOTAL(9,AF9:AF12)</f>
        <v>0</v>
      </c>
      <c r="AG13" s="187">
        <f t="shared" ref="AG13:AT13" si="7">SUBTOTAL(9,AG8:AG12)</f>
        <v>319</v>
      </c>
      <c r="AH13" s="187">
        <f t="shared" si="7"/>
        <v>919</v>
      </c>
      <c r="AI13" s="187">
        <f t="shared" si="7"/>
        <v>913</v>
      </c>
      <c r="AJ13" s="187">
        <f t="shared" si="7"/>
        <v>338</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6093</v>
      </c>
      <c r="AZ13" s="187">
        <f>SUBTOTAL(9,AZ8:AZ12)</f>
        <v>10470</v>
      </c>
      <c r="BA13" s="187">
        <f>SUBTOTAL(9,BA8:BA12)</f>
        <v>8770</v>
      </c>
      <c r="BB13" s="187">
        <f>SUBTOTAL(9,BB8:BB12)</f>
        <v>7917</v>
      </c>
      <c r="BC13" s="187">
        <f>SUBTOTAL(9,BC8:BC12)</f>
        <v>3773</v>
      </c>
      <c r="BD13" s="208">
        <f>IF(ISNUMBER(BA13/AZ13),BA13/AZ13," - ")</f>
        <v>0.83763132760267434</v>
      </c>
      <c r="BE13" s="209">
        <f>IF(ISNUMBER(BB13/BA13),BB13/BA13, " - ")</f>
        <v>0.90273660205245154</v>
      </c>
      <c r="BF13" s="209">
        <f>IF(ISNUMBER(BC13/BA13),BC13/BA13, " - ")</f>
        <v>0.43021664766248574</v>
      </c>
      <c r="BG13" s="210">
        <f>IF(ISNUMBER((AY13+AZ13)/BA13),(AY13+AZ13)/BA13," - ")</f>
        <v>1.8885974914481185</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2334</v>
      </c>
      <c r="J15" s="186">
        <v>9215</v>
      </c>
      <c r="K15" s="186">
        <v>8512</v>
      </c>
      <c r="L15" s="186">
        <v>3133</v>
      </c>
      <c r="M15" s="186">
        <v>1620</v>
      </c>
      <c r="N15" s="186">
        <v>4379</v>
      </c>
      <c r="O15" s="184">
        <v>149</v>
      </c>
      <c r="P15" s="186">
        <v>316</v>
      </c>
      <c r="Q15" s="186">
        <v>306</v>
      </c>
      <c r="R15" s="186">
        <v>266</v>
      </c>
      <c r="S15" s="186">
        <v>1714</v>
      </c>
      <c r="T15" s="186">
        <v>9216</v>
      </c>
      <c r="U15" s="186">
        <v>8739</v>
      </c>
      <c r="V15" s="186">
        <v>2334</v>
      </c>
      <c r="W15" s="186">
        <v>1617</v>
      </c>
      <c r="X15" s="192">
        <v>4642</v>
      </c>
      <c r="Y15" s="205">
        <v>0</v>
      </c>
      <c r="Z15" s="186">
        <v>0</v>
      </c>
      <c r="AA15" s="186">
        <v>0</v>
      </c>
      <c r="AB15" s="186">
        <v>0</v>
      </c>
      <c r="AC15" s="186">
        <v>0</v>
      </c>
      <c r="AD15" s="186">
        <v>1</v>
      </c>
      <c r="AE15" s="186">
        <v>1</v>
      </c>
      <c r="AF15" s="192">
        <v>0</v>
      </c>
      <c r="AG15" s="205">
        <v>0</v>
      </c>
      <c r="AH15" s="186">
        <v>0</v>
      </c>
      <c r="AI15" s="186">
        <v>0</v>
      </c>
      <c r="AJ15" s="206">
        <v>0</v>
      </c>
      <c r="AK15" s="185">
        <v>0</v>
      </c>
      <c r="AL15" s="186">
        <v>0</v>
      </c>
      <c r="AM15" s="186">
        <v>0</v>
      </c>
      <c r="AN15" s="192">
        <v>0</v>
      </c>
      <c r="AO15" s="262">
        <v>3</v>
      </c>
      <c r="AP15" s="158">
        <v>3</v>
      </c>
      <c r="AQ15" s="158">
        <v>3</v>
      </c>
      <c r="AR15" s="158">
        <v>3</v>
      </c>
      <c r="AS15" s="343" t="s">
        <v>519</v>
      </c>
      <c r="AT15" s="206" t="s">
        <v>326</v>
      </c>
      <c r="AU15" s="205"/>
      <c r="AV15" s="206"/>
      <c r="AW15" s="205"/>
      <c r="AX15" s="206"/>
      <c r="AY15" s="128">
        <f t="shared" ref="AY15:BB16" si="9">IF(ISNUMBER(IF(D_I="SI",S15,S15+AK15)),IF(D_I="SI",S15,S15+AK15)," - ")</f>
        <v>1714</v>
      </c>
      <c r="AZ15" s="129">
        <f t="shared" si="9"/>
        <v>9216</v>
      </c>
      <c r="BA15" s="129">
        <f t="shared" si="9"/>
        <v>8739</v>
      </c>
      <c r="BB15" s="129">
        <f t="shared" si="9"/>
        <v>2334</v>
      </c>
      <c r="BC15" s="125">
        <f>IF(ISNUMBER(W15),W15," - ")</f>
        <v>1617</v>
      </c>
      <c r="BD15" s="126">
        <f>IF(ISNUMBER(BA15/AZ15),BA15/AZ15," - ")</f>
        <v>0.9482421875</v>
      </c>
      <c r="BE15" s="127">
        <f>IF(ISNUMBER(BB15/BA15),BB15/BA15, " - ")</f>
        <v>0.26707861311362857</v>
      </c>
      <c r="BF15" s="127">
        <f>IF(ISNUMBER(BC15/BA15),BC15/BA15, " - ")</f>
        <v>0.18503261242705116</v>
      </c>
      <c r="BG15" s="199">
        <f t="shared" ref="BG15:BG16" si="10">IF(ISNUMBER((AY15+AZ15)/BA15),(AY15+AZ15)/BA15," - ")</f>
        <v>1.2507151848037532</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0</v>
      </c>
      <c r="J16" s="186">
        <v>0</v>
      </c>
      <c r="K16" s="186">
        <v>0</v>
      </c>
      <c r="L16" s="186">
        <v>0</v>
      </c>
      <c r="M16" s="186">
        <v>0</v>
      </c>
      <c r="N16" s="186">
        <v>0</v>
      </c>
      <c r="O16" s="184">
        <v>0</v>
      </c>
      <c r="P16" s="186">
        <v>0</v>
      </c>
      <c r="Q16" s="186">
        <v>0</v>
      </c>
      <c r="R16" s="186">
        <v>0</v>
      </c>
      <c r="S16" s="186">
        <v>2</v>
      </c>
      <c r="T16" s="186">
        <v>0</v>
      </c>
      <c r="U16" s="186">
        <v>2</v>
      </c>
      <c r="V16" s="186">
        <v>0</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2</v>
      </c>
      <c r="AZ16" s="127">
        <f t="shared" si="9"/>
        <v>0</v>
      </c>
      <c r="BA16" s="127">
        <f t="shared" si="9"/>
        <v>2</v>
      </c>
      <c r="BB16" s="127">
        <f t="shared" si="9"/>
        <v>0</v>
      </c>
      <c r="BC16" s="125">
        <f>IF(ISNUMBER(W16),W16," - ")</f>
        <v>0</v>
      </c>
      <c r="BD16" s="126" t="str">
        <f t="shared" ref="BD16" si="11">IF(ISNUMBER(BA16/AZ16),BA16/AZ16," - ")</f>
        <v xml:space="preserve"> - </v>
      </c>
      <c r="BE16" s="127">
        <f t="shared" ref="BE16" si="12">IF(ISNUMBER(BB16/BA16),BB16/BA16, " - ")</f>
        <v>0</v>
      </c>
      <c r="BF16" s="127">
        <f t="shared" ref="BF16" si="13">IF(ISNUMBER(BC16/BA16),BC16/BA16, " - ")</f>
        <v>0</v>
      </c>
      <c r="BG16" s="199">
        <f t="shared" si="10"/>
        <v>1</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273</v>
      </c>
      <c r="J17" s="186">
        <v>1530</v>
      </c>
      <c r="K17" s="186">
        <v>1435</v>
      </c>
      <c r="L17" s="186">
        <v>368</v>
      </c>
      <c r="M17" s="186">
        <v>283</v>
      </c>
      <c r="N17" s="186">
        <v>851</v>
      </c>
      <c r="O17" s="186">
        <v>1</v>
      </c>
      <c r="P17" s="186">
        <v>60</v>
      </c>
      <c r="Q17" s="186">
        <v>49</v>
      </c>
      <c r="R17" s="186">
        <v>28</v>
      </c>
      <c r="S17" s="186">
        <v>209</v>
      </c>
      <c r="T17" s="186">
        <v>1588</v>
      </c>
      <c r="U17" s="186">
        <v>1524</v>
      </c>
      <c r="V17" s="186">
        <v>273</v>
      </c>
      <c r="W17" s="186">
        <v>257</v>
      </c>
      <c r="X17" s="192">
        <v>1002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785</v>
      </c>
      <c r="AT17" s="212"/>
      <c r="AU17" s="203"/>
      <c r="AV17" s="212"/>
      <c r="AW17" s="203"/>
      <c r="AX17" s="212"/>
      <c r="AY17" s="128">
        <f t="shared" ref="AY17:BB17" si="14">IF(ISNUMBER(S17),S17," - ")</f>
        <v>209</v>
      </c>
      <c r="AZ17" s="129">
        <f t="shared" si="14"/>
        <v>1588</v>
      </c>
      <c r="BA17" s="129">
        <f t="shared" si="14"/>
        <v>1524</v>
      </c>
      <c r="BB17" s="129">
        <f t="shared" si="14"/>
        <v>273</v>
      </c>
      <c r="BC17" s="125">
        <f>IF(ISNUMBER(W17),W17," - ")</f>
        <v>257</v>
      </c>
      <c r="BD17" s="126">
        <f>IF(ISNUMBER(BA17/AZ17),BA17/AZ17," - ")</f>
        <v>0.95969773299748107</v>
      </c>
      <c r="BE17" s="127">
        <f>IF(ISNUMBER(BB17/BA17),BB17/BA17, " - ")</f>
        <v>0.17913385826771652</v>
      </c>
      <c r="BF17" s="127">
        <f>IF(ISNUMBER(BC17/BA17),BC17/BA17, " - ")</f>
        <v>0.16863517060367453</v>
      </c>
      <c r="BG17" s="199">
        <f>IF(ISNUMBER((AY17+AZ17)/BA17),(AY17+AZ17)/BA17," - ")</f>
        <v>1.1791338582677164</v>
      </c>
      <c r="BH17" s="158">
        <v>1</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2607</v>
      </c>
      <c r="J18" s="187">
        <f t="shared" si="15"/>
        <v>10745</v>
      </c>
      <c r="K18" s="187">
        <f t="shared" si="15"/>
        <v>9947</v>
      </c>
      <c r="L18" s="187">
        <f t="shared" si="15"/>
        <v>3501</v>
      </c>
      <c r="M18" s="187">
        <f t="shared" si="15"/>
        <v>1903</v>
      </c>
      <c r="N18" s="187">
        <f t="shared" si="15"/>
        <v>5230</v>
      </c>
      <c r="O18" s="187">
        <f t="shared" si="15"/>
        <v>150</v>
      </c>
      <c r="P18" s="187">
        <f t="shared" si="15"/>
        <v>376</v>
      </c>
      <c r="Q18" s="187">
        <f t="shared" si="15"/>
        <v>355</v>
      </c>
      <c r="R18" s="187">
        <f t="shared" si="15"/>
        <v>294</v>
      </c>
      <c r="S18" s="187">
        <f t="shared" si="15"/>
        <v>1925</v>
      </c>
      <c r="T18" s="187">
        <f t="shared" si="15"/>
        <v>10804</v>
      </c>
      <c r="U18" s="187">
        <f t="shared" si="15"/>
        <v>10265</v>
      </c>
      <c r="V18" s="187">
        <f t="shared" si="15"/>
        <v>2607</v>
      </c>
      <c r="W18" s="187">
        <f t="shared" si="15"/>
        <v>1874</v>
      </c>
      <c r="X18" s="187">
        <f t="shared" si="15"/>
        <v>5644</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1925</v>
      </c>
      <c r="AZ18" s="187">
        <f>SUBTOTAL(9,AZ14:AZ17)</f>
        <v>10804</v>
      </c>
      <c r="BA18" s="187">
        <f>SUBTOTAL(9,BA14:BA17)</f>
        <v>10265</v>
      </c>
      <c r="BB18" s="187">
        <f>SUBTOTAL(9,BB14:BB17)</f>
        <v>2607</v>
      </c>
      <c r="BC18" s="187">
        <f>SUBTOTAL(9,BC14:BC17)</f>
        <v>1874</v>
      </c>
      <c r="BD18" s="208">
        <f>IF(ISNUMBER(BA18/AZ18),BA18/AZ18," - ")</f>
        <v>0.95011106997408368</v>
      </c>
      <c r="BE18" s="209">
        <f>IF(ISNUMBER(BB18/BA18),BB18/BA18, " - ")</f>
        <v>0.25396980029225524</v>
      </c>
      <c r="BF18" s="209">
        <f>IF(ISNUMBER(BC18/BA18),BC18/BA18, " - ")</f>
        <v>0.18256210423770092</v>
      </c>
      <c r="BG18" s="210">
        <f>IF(ISNUMBER((AY18+AZ18)/BA18),(AY18+AZ18)/BA18," - ")</f>
        <v>1.240038967364832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10186</v>
      </c>
      <c r="J19" s="134">
        <f t="shared" si="18"/>
        <v>20679</v>
      </c>
      <c r="K19" s="134">
        <f t="shared" si="18"/>
        <v>17162</v>
      </c>
      <c r="L19" s="134">
        <f t="shared" si="18"/>
        <v>13804</v>
      </c>
      <c r="M19" s="134">
        <f t="shared" si="18"/>
        <v>3424</v>
      </c>
      <c r="N19" s="134">
        <f t="shared" si="18"/>
        <v>8767</v>
      </c>
      <c r="O19" s="134">
        <f t="shared" si="18"/>
        <v>4625</v>
      </c>
      <c r="P19" s="134">
        <f t="shared" si="18"/>
        <v>2879</v>
      </c>
      <c r="Q19" s="134">
        <f t="shared" si="18"/>
        <v>2954</v>
      </c>
      <c r="R19" s="134">
        <f t="shared" si="18"/>
        <v>15497</v>
      </c>
      <c r="S19" s="134">
        <f t="shared" si="18"/>
        <v>7699</v>
      </c>
      <c r="T19" s="134">
        <f t="shared" si="18"/>
        <v>20355</v>
      </c>
      <c r="U19" s="134">
        <f t="shared" si="18"/>
        <v>18122</v>
      </c>
      <c r="V19" s="134">
        <f t="shared" si="18"/>
        <v>10186</v>
      </c>
      <c r="W19" s="134">
        <f t="shared" si="18"/>
        <v>3688</v>
      </c>
      <c r="X19" s="134">
        <f t="shared" si="18"/>
        <v>9424</v>
      </c>
      <c r="Y19" s="134">
        <f t="shared" si="18"/>
        <v>338</v>
      </c>
      <c r="Z19" s="134">
        <f t="shared" si="18"/>
        <v>794</v>
      </c>
      <c r="AA19" s="134">
        <f t="shared" si="18"/>
        <v>806</v>
      </c>
      <c r="AB19" s="134">
        <f t="shared" si="18"/>
        <v>320</v>
      </c>
      <c r="AC19" s="134">
        <f t="shared" si="18"/>
        <v>0</v>
      </c>
      <c r="AD19" s="134">
        <f t="shared" si="18"/>
        <v>1</v>
      </c>
      <c r="AE19" s="134">
        <f t="shared" si="18"/>
        <v>1</v>
      </c>
      <c r="AF19" s="134">
        <f t="shared" si="18"/>
        <v>0</v>
      </c>
      <c r="AG19" s="134">
        <f t="shared" si="18"/>
        <v>319</v>
      </c>
      <c r="AH19" s="134">
        <f t="shared" si="18"/>
        <v>919</v>
      </c>
      <c r="AI19" s="134">
        <f t="shared" si="18"/>
        <v>913</v>
      </c>
      <c r="AJ19" s="134">
        <f t="shared" si="18"/>
        <v>338</v>
      </c>
      <c r="AK19" s="134">
        <f t="shared" si="18"/>
        <v>0</v>
      </c>
      <c r="AL19" s="134">
        <f t="shared" si="18"/>
        <v>0</v>
      </c>
      <c r="AM19" s="134">
        <f t="shared" si="18"/>
        <v>0</v>
      </c>
      <c r="AN19" s="213">
        <f t="shared" si="18"/>
        <v>0</v>
      </c>
      <c r="AO19" s="214">
        <v>10</v>
      </c>
      <c r="AP19" s="214">
        <v>10</v>
      </c>
      <c r="AQ19" s="214">
        <v>10</v>
      </c>
      <c r="AR19" s="214">
        <v>10</v>
      </c>
      <c r="AS19" s="156">
        <f t="shared" si="18"/>
        <v>0</v>
      </c>
      <c r="AT19" s="156">
        <f t="shared" si="18"/>
        <v>0</v>
      </c>
      <c r="AU19" s="214"/>
      <c r="AV19" s="215"/>
      <c r="AW19" s="214"/>
      <c r="AX19" s="215"/>
      <c r="AY19" s="133">
        <f>SUBTOTAL(9,AY9:AY18)</f>
        <v>8018</v>
      </c>
      <c r="AZ19" s="134">
        <f>SUBTOTAL(9,AZ9:AZ18)</f>
        <v>21274</v>
      </c>
      <c r="BA19" s="134">
        <f>SUBTOTAL(9,BA9:BA18)</f>
        <v>19035</v>
      </c>
      <c r="BB19" s="134">
        <f>SUBTOTAL(9,BB9:BB18)</f>
        <v>10524</v>
      </c>
      <c r="BC19" s="135">
        <f>SUBTOTAL(9,BC9:BC18)</f>
        <v>5647</v>
      </c>
      <c r="BD19" s="216">
        <f>IF(ISNUMBER(BA19/AZ19),BA19/AZ19," - ")</f>
        <v>0.89475416000752095</v>
      </c>
      <c r="BE19" s="213">
        <f>IF(ISNUMBER(BB19/BA19),BB19/BA19, " - ")</f>
        <v>0.55287628053585502</v>
      </c>
      <c r="BF19" s="213">
        <f>IF(ISNUMBER(BC19/BA19),BC19/BA19, " - ")</f>
        <v>0.2966640399264513</v>
      </c>
      <c r="BG19" s="135">
        <f>IF(ISNUMBER((AY19+AZ19)/BA19),(AY19+AZ19)/BA19," - ")</f>
        <v>1.538849487785658</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mDRjzNQ255W4t1h87WtXDt6tNGLnyVMxP6Q0q3zVrsYmJwo3aOh3hE/M6jLlvJJhTl4j7f0FQ/oITZs0dsRbw==" saltValue="12fYzsHEdHxG6Q+qiGlI3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1G9D3Lx6yPKCYefCxeOsPxkgFHsuOvRIt4g7uLTw0QaGUn0BMTPgZJYerclKFDFXTEvdaf4/knkascBp0qOFw==" saltValue="fI7ZYOlZMjvPAjrN7uOGN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ORIHUELA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794</v>
      </c>
      <c r="O9" s="337"/>
      <c r="P9" s="337"/>
      <c r="Q9" s="229">
        <f>IF(ISNUMBER(Datos!P9),Datos!P9,0)</f>
        <v>2461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2499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320</v>
      </c>
      <c r="AI9" s="337" t="str">
        <f>IF(ISNUMBER(Datos!CD9),Datos!CD9,"-")</f>
        <v>-</v>
      </c>
      <c r="AJ9" s="337" t="str">
        <f>IF(ISNUMBER(Datos!EN9),Datos!EN9," - ")</f>
        <v xml:space="preserve"> - </v>
      </c>
      <c r="AK9" s="337"/>
      <c r="AL9" s="482"/>
      <c r="AM9" s="338">
        <f>IF(ISNUMBER(Datos!R9),Datos!R9," - ")</f>
        <v>15063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1477</v>
      </c>
      <c r="BD9" s="232">
        <f>IF(ISNUMBER(Datos!N9),Datos!N9," - ")</f>
        <v>3475</v>
      </c>
      <c r="BE9" s="232" t="str">
        <f>IF(ISNUMBER(Datos!BW9),Datos!BW9," - ")</f>
        <v xml:space="preserve"> - </v>
      </c>
      <c r="BF9" s="231" t="str">
        <f>IF(ISNUMBER(Datos!BX9),Datos!BX9," - ")</f>
        <v xml:space="preserve"> - </v>
      </c>
      <c r="BG9" s="246">
        <f>IF(ISNUMBER(IF(J_V="SI",Datos!K9/Datos!J9,(Datos!K9+Datos!AA9)/(Datos!J9+Datos!Z9))),IF(J_V="SI",Datos!K9/Datos!J9,(Datos!K9+Datos!AA9)/(Datos!J9+Datos!Z9))," - ")</f>
        <v>0.74777251184834126</v>
      </c>
      <c r="BH9" s="263">
        <f>IF(ISNUMBER(((IF(J_V="SI",Datos!L9/Datos!K9,(Datos!L9+Datos!AB9)/(Datos!K9+Datos!AA9)))*11)/factor_trimestre),((IF(J_V="SI",Datos!L9/Datos!K9,(Datos!L9+Datos!AB9)/(Datos!K9+Datos!AA9)))*11)/factor_trimestre," - ")</f>
        <v>14.509570287742427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-2.5163896430699952E-3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171</v>
      </c>
      <c r="G10" s="336">
        <f>IF(ISNUMBER(Datos!I10),Datos!I10," - ")</f>
        <v>171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132</v>
      </c>
      <c r="AC10" s="229">
        <f>IF(ISNUMBER(Datos!Q10),Datos!Q10," - ")</f>
        <v>87</v>
      </c>
      <c r="AD10" s="337"/>
      <c r="AE10" s="487"/>
      <c r="AF10" s="335">
        <f>IF(ISNUMBER(Datos!L10),Datos!L10,"-")</f>
        <v>217</v>
      </c>
      <c r="AG10" s="337"/>
      <c r="AH10" s="337"/>
      <c r="AI10" s="337"/>
      <c r="AJ10" s="337"/>
      <c r="AK10" s="337"/>
      <c r="AL10" s="482"/>
      <c r="AM10" s="338">
        <f>IF(ISNUMBER(Datos!R10),Datos!R10," - ")</f>
        <v>140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44</v>
      </c>
      <c r="BD10" s="232">
        <f>IF(ISNUMBER(Datos!N10),Datos!N10," - ")</f>
        <v>62</v>
      </c>
      <c r="BE10" s="232" t="str">
        <f>IF(ISNUMBER(Datos!BW10),Datos!BW10," - ")</f>
        <v xml:space="preserve"> - </v>
      </c>
      <c r="BF10" s="231" t="str">
        <f>IF(ISNUMBER(Datos!BX10),Datos!BX10," - ")</f>
        <v xml:space="preserve"> - </v>
      </c>
      <c r="BG10" s="246">
        <f>IF(ISNUMBER(Datos!K10/Datos!J10),Datos!K10/Datos!J10," - ")</f>
        <v>0.7415730337078652</v>
      </c>
      <c r="BH10" s="263">
        <f>IF(ISNUMBER(((Datos!L10/Datos!K10)*11)/factor_trimestre),((Datos!L10/Datos!K10)*11)/factor_trimestre," - ")</f>
        <v>18.083333333333336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-0.24324324324324326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171</v>
      </c>
      <c r="G13" s="901">
        <f t="shared" si="0"/>
        <v>171</v>
      </c>
      <c r="H13" s="902">
        <f t="shared" si="0"/>
        <v>0</v>
      </c>
      <c r="I13" s="901">
        <f t="shared" si="0"/>
        <v>0</v>
      </c>
      <c r="J13" s="870">
        <f t="shared" si="0"/>
        <v>0</v>
      </c>
      <c r="K13" s="870">
        <f t="shared" si="0"/>
        <v>0</v>
      </c>
      <c r="L13" s="902">
        <f t="shared" si="0"/>
        <v>0</v>
      </c>
      <c r="M13" s="902">
        <f t="shared" si="0"/>
        <v>0</v>
      </c>
      <c r="N13" s="902">
        <f t="shared" si="0"/>
        <v>794</v>
      </c>
      <c r="O13" s="903">
        <f t="shared" si="0"/>
        <v>0</v>
      </c>
      <c r="P13" s="903">
        <f t="shared" si="0"/>
        <v>0</v>
      </c>
      <c r="Q13" s="902">
        <f t="shared" si="0"/>
        <v>2503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132</v>
      </c>
      <c r="AC13" s="902">
        <f t="shared" si="1"/>
        <v>2599</v>
      </c>
      <c r="AD13" s="902">
        <f t="shared" si="1"/>
        <v>0</v>
      </c>
      <c r="AE13" s="902">
        <f t="shared" si="1"/>
        <v>0</v>
      </c>
      <c r="AF13" s="902">
        <f t="shared" si="1"/>
        <v>217</v>
      </c>
      <c r="AG13" s="902">
        <f t="shared" si="1"/>
        <v>0</v>
      </c>
      <c r="AH13" s="902">
        <f t="shared" si="1"/>
        <v>320</v>
      </c>
      <c r="AI13" s="902">
        <f t="shared" si="1"/>
        <v>0</v>
      </c>
      <c r="AJ13" s="902">
        <f t="shared" si="1"/>
        <v>0</v>
      </c>
      <c r="AK13" s="902">
        <f t="shared" si="1"/>
        <v>0</v>
      </c>
      <c r="AL13" s="902">
        <f t="shared" si="1"/>
        <v>0</v>
      </c>
      <c r="AM13" s="902">
        <f t="shared" si="1"/>
        <v>15203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1521</v>
      </c>
      <c r="BD13" s="902">
        <f t="shared" si="1"/>
        <v>3537</v>
      </c>
      <c r="BE13" s="902">
        <f t="shared" si="1"/>
        <v>0</v>
      </c>
      <c r="BF13" s="902">
        <f t="shared" si="1"/>
        <v>0</v>
      </c>
      <c r="BG13" s="902">
        <f>IF(ISNUMBER(Datos!K13/Datos!J13),Datos!K13/Datos!J13," - ")</f>
        <v>0.72629353734648683</v>
      </c>
      <c r="BH13" s="906">
        <f>IF(ISNUMBER(((Datos!L13/Datos!K13)*11)/factor_trimestre),((Datos!L13/Datos!K13)*11)/factor_trimestre," - ")</f>
        <v>15.707969507969507</v>
      </c>
      <c r="BI13" s="902">
        <f>IF(ISNUMBER('Resol  Asuntos'!D13/NºAsuntos!G13),'Resol  Asuntos'!D13/NºAsuntos!G13," - ")</f>
        <v>0.18962722852512157</v>
      </c>
      <c r="BJ13" s="902" t="str">
        <f>IF(ISNUMBER(Datos!CI13/Datos!CJ13),Datos!CI13/Datos!CJ13," - ")</f>
        <v xml:space="preserve"> - </v>
      </c>
      <c r="BK13" s="902">
        <f>SUBTOTAL(9,BK8:BK12)</f>
        <v>0</v>
      </c>
      <c r="BL13" s="902">
        <f>IF(ISNUMBER((I13-AB13+L13)/(F13)),(I13-AB13+L13)/(F13)," - ")</f>
        <v>-0.77192982456140347</v>
      </c>
      <c r="BM13" s="907">
        <f>SUBTOTAL(9,BM9:BM12)</f>
        <v>-1.2457596328863132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2430</v>
      </c>
      <c r="G15" s="601">
        <f>IF(ISNUMBER(IF(D_I="SI",Datos!I15,Datos!I15+Datos!AC15)),IF(D_I="SI",Datos!I15,Datos!I15+Datos!AC15)," - ")</f>
        <v>2334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316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8512</v>
      </c>
      <c r="AC15" s="229">
        <f>IF(ISNUMBER(Datos!Q15),Datos!Q15," - ")</f>
        <v>306</v>
      </c>
      <c r="AD15" s="337"/>
      <c r="AE15" s="487"/>
      <c r="AF15" s="599">
        <f>IF(ISNUMBER(IF(D_I="SI",Datos!L15,Datos!L15+Datos!AF15)),IF(D_I="SI",Datos!L15,Datos!L15+Datos!AF15)," - ")</f>
        <v>3133</v>
      </c>
      <c r="AG15" s="337"/>
      <c r="AH15" s="337"/>
      <c r="AI15" s="337"/>
      <c r="AJ15" s="337"/>
      <c r="AK15" s="337"/>
      <c r="AL15" s="482"/>
      <c r="AM15" s="338">
        <f>IF(ISNUMBER(Datos!R15),Datos!R15," - ")</f>
        <v>266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1620</v>
      </c>
      <c r="BD15" s="232">
        <f>IF(ISNUMBER(Datos!N15),Datos!N15," - ")</f>
        <v>4379</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0.92371134020618562</v>
      </c>
      <c r="BH15" s="263">
        <f>IF(ISNUMBER(((IF(D_I="SI",Datos!L15/Datos!K15,(Datos!L15+Datos!AF15)/(Datos!K15+Datos!AE15)))*11)/factor_trimestre),((IF(D_I="SI",Datos!L15/Datos!K15,(Datos!L15+Datos!AF15)/(Datos!K15+Datos!AE15)))*11)/factor_trimestre," - ")</f>
        <v>4.0487546992481205</v>
      </c>
      <c r="BI15" s="246">
        <f>IF(ISNUMBER('Resol  Asuntos'!D15/NºAsuntos!G15),'Resol  Asuntos'!D15/NºAsuntos!G15," - ")</f>
        <v>0.19031954887218044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0</v>
      </c>
      <c r="G16" s="601">
        <f>IF(ISNUMBER(IF(D_I="SI",Datos!I16,Datos!I16+Datos!AC16)),IF(D_I="SI",Datos!I16,Datos!I16+Datos!AC16)," - ")</f>
        <v>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0</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273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1435</v>
      </c>
      <c r="AC17" s="229">
        <f>IF(ISNUMBER(Datos!Q17),Datos!Q17," - ")</f>
        <v>49</v>
      </c>
      <c r="AD17" s="337"/>
      <c r="AE17" s="487"/>
      <c r="AF17" s="335">
        <f>IF(ISNUMBER(Datos!L17),Datos!L17,"-")</f>
        <v>368</v>
      </c>
      <c r="AG17" s="337"/>
      <c r="AH17" s="337"/>
      <c r="AI17" s="337"/>
      <c r="AJ17" s="337"/>
      <c r="AK17" s="337"/>
      <c r="AL17" s="482"/>
      <c r="AM17" s="338">
        <f>IF(ISNUMBER(Datos!R17),Datos!R17," - ")</f>
        <v>28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283</v>
      </c>
      <c r="BD17" s="232">
        <f>IF(ISNUMBER(Datos!N17),Datos!N17," - ")</f>
        <v>851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0.93790849673202614</v>
      </c>
      <c r="BH17" s="263">
        <f>IF(ISNUMBER(((IF(D_I="SI",Datos!L17/Datos!K17,(Datos!L17+Datos!AF17)/(Datos!K17+Datos!AE17)))*11)/factor_trimestre),((IF(D_I="SI",Datos!L17/Datos!K17,(Datos!L17+Datos!AF17)/(Datos!K17+Datos!AE17)))*11)/factor_trimestre," - ")</f>
        <v>2.8209059233449478</v>
      </c>
      <c r="BI17" s="246">
        <f>IF(ISNUMBER('Resol  Asuntos'!D17/NºAsuntos!G17),'Resol  Asuntos'!D17/NºAsuntos!G17," - ")</f>
        <v>0.19721254355400697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2430</v>
      </c>
      <c r="G18" s="901">
        <f>SUBTOTAL(9,G15:G17)</f>
        <v>2607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376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9947</v>
      </c>
      <c r="AC18" s="902">
        <f t="shared" si="4"/>
        <v>355</v>
      </c>
      <c r="AD18" s="902">
        <f t="shared" si="4"/>
        <v>0</v>
      </c>
      <c r="AE18" s="902">
        <f t="shared" si="4"/>
        <v>0</v>
      </c>
      <c r="AF18" s="902">
        <f t="shared" si="4"/>
        <v>3501</v>
      </c>
      <c r="AG18" s="902">
        <f t="shared" si="4"/>
        <v>0</v>
      </c>
      <c r="AH18" s="902">
        <f t="shared" si="4"/>
        <v>0</v>
      </c>
      <c r="AI18" s="902">
        <f t="shared" si="4"/>
        <v>0</v>
      </c>
      <c r="AJ18" s="902">
        <f t="shared" si="4"/>
        <v>0</v>
      </c>
      <c r="AK18" s="902">
        <f t="shared" si="4"/>
        <v>0</v>
      </c>
      <c r="AL18" s="902">
        <f t="shared" si="4"/>
        <v>0</v>
      </c>
      <c r="AM18" s="902">
        <f t="shared" si="4"/>
        <v>294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1903</v>
      </c>
      <c r="BD18" s="902">
        <f t="shared" si="4"/>
        <v>5230</v>
      </c>
      <c r="BE18" s="902">
        <f t="shared" si="4"/>
        <v>0</v>
      </c>
      <c r="BF18" s="902">
        <f t="shared" si="4"/>
        <v>0</v>
      </c>
      <c r="BG18" s="902">
        <f>IF(ISNUMBER(Datos!K18/Datos!J18),Datos!K18/Datos!J18," - ")</f>
        <v>0.92573289902280131</v>
      </c>
      <c r="BH18" s="906">
        <f>IF(ISNUMBER(((Datos!L18/Datos!K18)*11)/factor_trimestre),((Datos!L18/Datos!K18)*11)/factor_trimestre," - ")</f>
        <v>3.871619583794109</v>
      </c>
      <c r="BI18" s="902">
        <f>SUBTOTAL(9,BI15:BI17)</f>
        <v>0.38753209242618741</v>
      </c>
      <c r="BJ18" s="902">
        <f>SUBTOTAL(9,BJ15:BJ17)</f>
        <v>0</v>
      </c>
      <c r="BK18" s="902">
        <f>SUBTOTAL(9,BK15:BK17)</f>
        <v>0</v>
      </c>
      <c r="BL18" s="902">
        <f>IF(ISNUMBER((I18-AB18+L18)/(F18)),(I18-AB18+L18)/(F18)," - ")</f>
        <v>-4.0934156378600823</v>
      </c>
      <c r="BM18" s="908">
        <f>IF(ISNUMBER((Datos!P18-Datos!Q18)/(Datos!R18-Datos!P18+Datos!Q18)),(Datos!P18-Datos!Q18)/(Datos!R18-Datos!P18+Datos!Q18)," - ")</f>
        <v>7.6923076923076927E-2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11</v>
      </c>
      <c r="F19" s="823">
        <f t="shared" si="6"/>
        <v>2601</v>
      </c>
      <c r="G19" s="823">
        <f t="shared" si="6"/>
        <v>2778</v>
      </c>
      <c r="H19" s="825">
        <f t="shared" si="6"/>
        <v>0</v>
      </c>
      <c r="I19" s="823">
        <f t="shared" si="6"/>
        <v>0</v>
      </c>
      <c r="J19" s="825">
        <f t="shared" si="6"/>
        <v>0</v>
      </c>
      <c r="K19" s="825">
        <f t="shared" si="6"/>
        <v>0</v>
      </c>
      <c r="L19" s="884">
        <f t="shared" si="6"/>
        <v>0</v>
      </c>
      <c r="M19" s="884">
        <f t="shared" si="6"/>
        <v>0</v>
      </c>
      <c r="N19" s="884">
        <f t="shared" si="6"/>
        <v>794</v>
      </c>
      <c r="O19" s="884">
        <f t="shared" si="6"/>
        <v>0</v>
      </c>
      <c r="P19" s="884">
        <f t="shared" si="6"/>
        <v>0</v>
      </c>
      <c r="Q19" s="825">
        <f t="shared" si="6"/>
        <v>2879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10079</v>
      </c>
      <c r="AC19" s="824">
        <f t="shared" si="7"/>
        <v>2954</v>
      </c>
      <c r="AD19" s="824">
        <f t="shared" si="7"/>
        <v>0</v>
      </c>
      <c r="AE19" s="824">
        <f t="shared" si="7"/>
        <v>0</v>
      </c>
      <c r="AF19" s="831">
        <f t="shared" si="7"/>
        <v>3718</v>
      </c>
      <c r="AG19" s="831">
        <f t="shared" si="7"/>
        <v>0</v>
      </c>
      <c r="AH19" s="831">
        <f t="shared" si="7"/>
        <v>320</v>
      </c>
      <c r="AI19" s="831">
        <f t="shared" si="7"/>
        <v>0</v>
      </c>
      <c r="AJ19" s="824">
        <f t="shared" si="7"/>
        <v>0</v>
      </c>
      <c r="AK19" s="831">
        <f t="shared" si="7"/>
        <v>0</v>
      </c>
      <c r="AL19" s="831">
        <f t="shared" si="7"/>
        <v>0</v>
      </c>
      <c r="AM19" s="831">
        <f t="shared" si="7"/>
        <v>15497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3424</v>
      </c>
      <c r="BD19" s="823">
        <f t="shared" si="7"/>
        <v>8767</v>
      </c>
      <c r="BE19" s="823">
        <f t="shared" si="7"/>
        <v>0</v>
      </c>
      <c r="BF19" s="833">
        <f t="shared" si="7"/>
        <v>0</v>
      </c>
      <c r="BG19" s="918">
        <f>IF(ISNUMBER(Datos!K19/Datos!J19),Datos!K19/Datos!J19," - ")</f>
        <v>0.82992407756661346</v>
      </c>
      <c r="BH19" s="918">
        <f>IF(ISNUMBER(((Datos!L19/Datos!K19)*11)/factor_trimestre),((Datos!L19/Datos!K19)*11)/factor_trimestre," - ")</f>
        <v>8.8476867497960612</v>
      </c>
      <c r="BI19" s="816">
        <f>IF(ISNUMBER(Datos!J19/Datos!I19),Datos!J19/Datos!I19," - ")</f>
        <v>2.0301394070292558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-3.8750480584390621</v>
      </c>
      <c r="BM19" s="892">
        <f>IF(ISNUMBER((Datos!P19-Datos!Q19+R19)/(Datos!R19-Datos!P19+Datos!Q19-R19)),(Datos!P19-Datos!Q19+R19)/(Datos!R19-Datos!P19+Datos!Q19-R19)," - ")</f>
        <v>-4.8163370151554068E-3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926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2.6977356760397742</v>
      </c>
      <c r="F21" s="554">
        <f>IF(ISNUMBER(STDEV(F8:F18)),STDEV(F8:F18),"-")</f>
        <v>1270.4449220647073</v>
      </c>
      <c r="G21" s="555">
        <f>IF(ISNUMBER(STDEV(G8:G18)),STDEV(G8:G18),"-")</f>
        <v>1202.6770139983553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4599.2796247528449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841.84457337105027</v>
      </c>
      <c r="BD21" s="554"/>
      <c r="BE21" s="554">
        <f>IF(ISNUMBER(STDEV(BE8:BE18)),STDEV(BE8:BE18),"-")</f>
        <v>0</v>
      </c>
      <c r="BF21" s="559">
        <f>IF(ISNUMBER(STDEV(BF8:BF18)),STDEV(BF8:BF18),"-")</f>
        <v>0</v>
      </c>
      <c r="BG21" s="778">
        <f>IF(ISNUMBER(STDEV(BG8:BG18)),STDEV(BG8:BG18),"-")</f>
        <v>0.10472675066209639</v>
      </c>
      <c r="BH21" s="779">
        <f>IF(ISNUMBER(STDEV(BH8:BH18)),STDEV(BH8:BH18),"-")</f>
        <v>6.9658921190788927</v>
      </c>
      <c r="BI21" s="252">
        <f>IF(ISNUMBER(STDEV(BI8:BI18)),STDEV(BI8:BI18),"-")</f>
        <v>9.7632893560898423E-2</v>
      </c>
      <c r="BJ21" s="233" t="str">
        <f>IF(ISNUMBER(BL21/BM21),BL21/BM21," - ")</f>
        <v xml:space="preserve"> - </v>
      </c>
      <c r="BK21" s="578"/>
      <c r="BL21" s="562">
        <f>IF(ISNUMBER(STDEV(BL8:BL18)),STDEV(BL8:BL18),"-")</f>
        <v>2.3486451421984116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oKalG/5Cp2UM8sMu3nSKtuq8eVjw6h1I0C41ws4W3Fxma5pn2A53eKCjHhlUO7iZv0DsJd8FcFB6e/3wLiexg==" saltValue="rXXwdG3lEP8kWliDADGK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ORIHUELA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2461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2499</v>
      </c>
      <c r="AA9" s="335" t="str">
        <f>IF(ISNUMBER(IF(J_V="SI",Datos!L9,Datos!L9+Datos!AB9)-IF(Monitorios="SI",Datos!CD9,0)),
                          IF(J_V="SI",Datos!L9,Datos!L9+Datos!AB9)-IF(Monitorios="SI",Datos!CD9,0),
                          " - ")</f>
        <v xml:space="preserve"> - </v>
      </c>
      <c r="AB9" s="337"/>
      <c r="AC9" s="337"/>
      <c r="AD9" s="487"/>
      <c r="AE9" s="487">
        <f>IF(ISNUMBER(Datos!R9),Datos!R9," - ")</f>
        <v>15063</v>
      </c>
      <c r="AF9" s="232" t="str">
        <f>IF(ISNUMBER(Datos!BV9),Datos!BV9," - ")</f>
        <v xml:space="preserve"> - </v>
      </c>
      <c r="AG9" s="228" t="str">
        <f>IF(ISNUMBER(Datos!DV9),Datos!DV9," - ")</f>
        <v xml:space="preserve"> - </v>
      </c>
      <c r="AH9" s="301"/>
      <c r="AI9" s="230"/>
      <c r="AJ9" s="228">
        <f>IF(ISNUMBER(Datos!M9),Datos!M9," - ")</f>
        <v>1477</v>
      </c>
      <c r="AK9" s="232">
        <f>IF(ISNUMBER(Datos!N9),Datos!N9," - ")</f>
        <v>3475</v>
      </c>
      <c r="AL9" s="232" t="str">
        <f>IF(ISNUMBER(Datos!BW9),Datos!BW9," - ")</f>
        <v xml:space="preserve"> - </v>
      </c>
      <c r="AM9" s="231" t="str">
        <f>IF(ISNUMBER(Datos!BX9),Datos!BX9," - ")</f>
        <v xml:space="preserve"> - </v>
      </c>
      <c r="AN9" s="246"/>
      <c r="AO9" s="263">
        <f>IF(ISNUMBER(((NºAsuntos!I9/NºAsuntos!G9)*11)/factor_trimestre),((NºAsuntos!I9/NºAsuntos!G9)*11)/factor_trimestre," - ")</f>
        <v>14.509570287742427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-2.5163896430699952E-3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171</v>
      </c>
      <c r="G10" s="228">
        <f>IF(ISNUMBER(Datos!I10),Datos!I10," - ")</f>
        <v>171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132</v>
      </c>
      <c r="Z10" s="622">
        <f>IF(ISNUMBER(Datos!Q10),Datos!Q10," - ")</f>
        <v>87</v>
      </c>
      <c r="AA10" s="335">
        <f>IF(ISNUMBER(Datos!L10),Datos!L10,"-")</f>
        <v>217</v>
      </c>
      <c r="AB10" s="337"/>
      <c r="AC10" s="337"/>
      <c r="AD10" s="487"/>
      <c r="AE10" s="487">
        <f>IF(ISNUMBER(Datos!R10),Datos!R10," - ")</f>
        <v>140</v>
      </c>
      <c r="AF10" s="232" t="str">
        <f>IF(ISNUMBER(Datos!BV10),Datos!BV10," - ")</f>
        <v xml:space="preserve"> - </v>
      </c>
      <c r="AG10" s="228" t="str">
        <f>IF(ISNUMBER(Datos!DV10),Datos!DV10," - ")</f>
        <v xml:space="preserve"> - </v>
      </c>
      <c r="AH10" s="301"/>
      <c r="AI10" s="230"/>
      <c r="AJ10" s="228">
        <f>IF(ISNUMBER(Datos!M10),Datos!M10," - ")</f>
        <v>44</v>
      </c>
      <c r="AK10" s="232">
        <f>IF(ISNUMBER(Datos!N10),Datos!N10," - ")</f>
        <v>62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18.083333333333336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-0.24324324324324326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v>
      </c>
      <c r="AA12" s="335" t="str">
        <f>IF(ISNUMBER(IF(J_V="SI",Datos!L12,Datos!L12+Datos!AB12)-IF(Monitorios="SI",Datos!CD12,0)),
                          IF(J_V="SI",Datos!L12,Datos!L12+Datos!AB12)-IF(Monitorios="SI",Datos!CD12,0),
                          " - ")</f>
        <v xml:space="preserve"> - </v>
      </c>
      <c r="AB12" s="337"/>
      <c r="AC12" s="337"/>
      <c r="AD12" s="487"/>
      <c r="AE12" s="487">
        <f>IF(ISNUMBER(Datos!R12),Datos!R12," - ")</f>
        <v>0</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171</v>
      </c>
      <c r="G13" s="901">
        <f>SUBTOTAL(9,G8:G12)</f>
        <v>171</v>
      </c>
      <c r="H13" s="911"/>
      <c r="I13" s="901">
        <f t="shared" ref="I13:N13" si="0">SUBTOTAL(9,I8:I12)</f>
        <v>0</v>
      </c>
      <c r="J13" s="870">
        <f t="shared" si="0"/>
        <v>0</v>
      </c>
      <c r="K13" s="911">
        <f t="shared" si="0"/>
        <v>0</v>
      </c>
      <c r="L13" s="911">
        <f t="shared" si="0"/>
        <v>0</v>
      </c>
      <c r="M13" s="911">
        <f t="shared" si="0"/>
        <v>0</v>
      </c>
      <c r="N13" s="911">
        <f t="shared" si="0"/>
        <v>2503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132</v>
      </c>
      <c r="Z13" s="910">
        <f t="shared" si="2"/>
        <v>2599</v>
      </c>
      <c r="AA13" s="903">
        <f t="shared" si="2"/>
        <v>217</v>
      </c>
      <c r="AB13" s="903">
        <f t="shared" si="2"/>
        <v>0</v>
      </c>
      <c r="AC13" s="903">
        <f t="shared" si="2"/>
        <v>0</v>
      </c>
      <c r="AD13" s="903">
        <f t="shared" si="2"/>
        <v>0</v>
      </c>
      <c r="AE13" s="903">
        <f t="shared" si="2"/>
        <v>15203</v>
      </c>
      <c r="AF13" s="911">
        <f t="shared" si="2"/>
        <v>0</v>
      </c>
      <c r="AG13" s="911">
        <f t="shared" si="2"/>
        <v>0</v>
      </c>
      <c r="AH13" s="911">
        <f t="shared" si="2"/>
        <v>0</v>
      </c>
      <c r="AI13" s="911">
        <f t="shared" si="2"/>
        <v>0</v>
      </c>
      <c r="AJ13" s="911">
        <f t="shared" si="2"/>
        <v>1521</v>
      </c>
      <c r="AK13" s="911">
        <f t="shared" si="2"/>
        <v>3537</v>
      </c>
      <c r="AL13" s="911">
        <f t="shared" si="2"/>
        <v>0</v>
      </c>
      <c r="AM13" s="911">
        <f t="shared" si="2"/>
        <v>0</v>
      </c>
      <c r="AN13" s="911">
        <f t="shared" si="2"/>
        <v>0</v>
      </c>
      <c r="AO13" s="907">
        <f>IF(ISNUMBER(((NºAsuntos!I13/NºAsuntos!G13)*11)/factor_trimestre),((NºAsuntos!I13/NºAsuntos!G13)*11)/factor_trimestre," - ")</f>
        <v>14.568382994639073</v>
      </c>
      <c r="AP13" s="913" t="str">
        <f>IF(ISNUMBER(Datos!CI13/Datos!CJ13),Datos!CI13/Datos!CJ13," - ")</f>
        <v xml:space="preserve"> - </v>
      </c>
      <c r="AQ13" s="931">
        <f t="shared" ref="AQ13:AV13" si="3">SUBTOTAL(9,AQ9:AQ12)</f>
        <v>0</v>
      </c>
      <c r="AR13" s="931">
        <f t="shared" si="3"/>
        <v>-1.2457596328863132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2430</v>
      </c>
      <c r="G15" s="228">
        <f>IF(ISNUMBER(IF(D_I="SI",Datos!I15,Datos!I15+Datos!AC15)),IF(D_I="SI",Datos!I15,Datos!I15+Datos!AC15)," - ")</f>
        <v>2334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316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8512</v>
      </c>
      <c r="Z15" s="622">
        <f>IF(ISNUMBER(Datos!Q15),Datos!Q15," - ")</f>
        <v>306</v>
      </c>
      <c r="AA15" s="335">
        <f>IF(ISNUMBER(IF(D_I="SI",Datos!L15,Datos!L15+Datos!AF15)),IF(D_I="SI",Datos!L15,Datos!L15+Datos!AF15)," - ")</f>
        <v>3133</v>
      </c>
      <c r="AB15" s="337"/>
      <c r="AC15" s="337"/>
      <c r="AD15" s="487"/>
      <c r="AE15" s="487">
        <f>IF(ISNUMBER(Datos!R15),Datos!R15," - ")</f>
        <v>266</v>
      </c>
      <c r="AF15" s="232" t="str">
        <f>IF(ISNUMBER(Datos!BV15),Datos!BV15," - ")</f>
        <v xml:space="preserve"> - </v>
      </c>
      <c r="AG15" s="228"/>
      <c r="AH15" s="301"/>
      <c r="AI15" s="230"/>
      <c r="AJ15" s="228">
        <f>IF(ISNUMBER(Datos!M15),Datos!M15," - ")</f>
        <v>1620</v>
      </c>
      <c r="AK15" s="232">
        <f>IF(ISNUMBER(Datos!N15),Datos!N15," - ")</f>
        <v>4379</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4.0487546992481205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0</v>
      </c>
      <c r="G16" s="228">
        <f>IF(ISNUMBER(IF(D_I="SI",Datos!I16,Datos!I16+Datos!AC16)),IF(D_I="SI",Datos!I16,Datos!I16+Datos!AC16)," - ")</f>
        <v>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0</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273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1435</v>
      </c>
      <c r="Z17" s="622">
        <f>IF(ISNUMBER(Datos!Q17),Datos!Q17," - ")</f>
        <v>49</v>
      </c>
      <c r="AA17" s="335">
        <f>IF(ISNUMBER(Datos!L17),Datos!L17,"-")</f>
        <v>368</v>
      </c>
      <c r="AB17" s="337"/>
      <c r="AC17" s="337"/>
      <c r="AD17" s="487"/>
      <c r="AE17" s="487">
        <f>IF(ISNUMBER(Datos!R17),Datos!R17," - ")</f>
        <v>28</v>
      </c>
      <c r="AF17" s="232" t="str">
        <f>IF(ISNUMBER(Datos!BV17),Datos!BV17," - ")</f>
        <v xml:space="preserve"> - </v>
      </c>
      <c r="AG17" s="228" t="str">
        <f>IF(ISNUMBER(Datos!DV17),Datos!DV17," - ")</f>
        <v xml:space="preserve"> - </v>
      </c>
      <c r="AH17" s="301"/>
      <c r="AI17" s="230"/>
      <c r="AJ17" s="228">
        <f>IF(ISNUMBER(Datos!M17),Datos!M17," - ")</f>
        <v>283</v>
      </c>
      <c r="AK17" s="232">
        <f>IF(ISNUMBER(Datos!N17),Datos!N17," - ")</f>
        <v>851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2.8209059233449478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2430</v>
      </c>
      <c r="G18" s="901">
        <f>SUBTOTAL(9,G15:G17)</f>
        <v>2607</v>
      </c>
      <c r="H18" s="935">
        <f>SUBTOTAL(9,H15:H17)</f>
        <v>0</v>
      </c>
      <c r="I18" s="914">
        <f>SUBTOTAL(9,I15:I17)</f>
        <v>0</v>
      </c>
      <c r="J18" s="870">
        <f>SUBTOTAL(9,J14:J17)</f>
        <v>0</v>
      </c>
      <c r="K18" s="935">
        <f t="shared" ref="K18:S18" si="4">SUBTOTAL(9,K15:K17)</f>
        <v>0</v>
      </c>
      <c r="L18" s="935">
        <f t="shared" si="4"/>
        <v>0</v>
      </c>
      <c r="M18" s="935">
        <f t="shared" si="4"/>
        <v>0</v>
      </c>
      <c r="N18" s="935">
        <f t="shared" si="4"/>
        <v>376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9947</v>
      </c>
      <c r="Z18" s="935">
        <f t="shared" si="5"/>
        <v>355</v>
      </c>
      <c r="AA18" s="935">
        <f t="shared" si="5"/>
        <v>3501</v>
      </c>
      <c r="AB18" s="935">
        <f t="shared" si="5"/>
        <v>0</v>
      </c>
      <c r="AC18" s="935">
        <f t="shared" si="5"/>
        <v>0</v>
      </c>
      <c r="AD18" s="935">
        <f t="shared" si="5"/>
        <v>0</v>
      </c>
      <c r="AE18" s="935">
        <f t="shared" si="5"/>
        <v>294</v>
      </c>
      <c r="AF18" s="935">
        <f t="shared" si="5"/>
        <v>0</v>
      </c>
      <c r="AG18" s="935">
        <f t="shared" si="5"/>
        <v>0</v>
      </c>
      <c r="AH18" s="935">
        <f t="shared" si="5"/>
        <v>0</v>
      </c>
      <c r="AI18" s="935">
        <f t="shared" si="5"/>
        <v>0</v>
      </c>
      <c r="AJ18" s="935">
        <f t="shared" si="5"/>
        <v>1903</v>
      </c>
      <c r="AK18" s="935">
        <f t="shared" si="5"/>
        <v>5230</v>
      </c>
      <c r="AL18" s="935">
        <f t="shared" si="5"/>
        <v>0</v>
      </c>
      <c r="AM18" s="935">
        <f t="shared" si="5"/>
        <v>0</v>
      </c>
      <c r="AN18" s="935">
        <f t="shared" si="5"/>
        <v>0</v>
      </c>
      <c r="AO18" s="937">
        <f>IF(ISNUMBER(((NºAsuntos!I18/NºAsuntos!G18)*11)/factor_trimestre),((NºAsuntos!I18/NºAsuntos!G18)*11)/factor_trimestre," - ")</f>
        <v>3.871619583794109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2601</v>
      </c>
      <c r="G19" s="823">
        <f t="shared" si="7"/>
        <v>2778</v>
      </c>
      <c r="H19" s="824">
        <f t="shared" si="7"/>
        <v>0</v>
      </c>
      <c r="I19" s="823">
        <f t="shared" si="7"/>
        <v>0</v>
      </c>
      <c r="J19" s="825">
        <f t="shared" si="7"/>
        <v>0</v>
      </c>
      <c r="K19" s="823">
        <f t="shared" si="7"/>
        <v>0</v>
      </c>
      <c r="L19" s="826">
        <f t="shared" si="7"/>
        <v>0</v>
      </c>
      <c r="M19" s="823">
        <f t="shared" si="7"/>
        <v>0</v>
      </c>
      <c r="N19" s="824">
        <f t="shared" si="7"/>
        <v>2879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10079</v>
      </c>
      <c r="Z19" s="830">
        <f t="shared" si="8"/>
        <v>2954</v>
      </c>
      <c r="AA19" s="831">
        <f t="shared" si="8"/>
        <v>3718</v>
      </c>
      <c r="AB19" s="831">
        <f t="shared" si="8"/>
        <v>0</v>
      </c>
      <c r="AC19" s="831">
        <f t="shared" si="8"/>
        <v>0</v>
      </c>
      <c r="AD19" s="832">
        <f t="shared" si="8"/>
        <v>0</v>
      </c>
      <c r="AE19" s="832">
        <f t="shared" si="8"/>
        <v>15497</v>
      </c>
      <c r="AF19" s="833">
        <f t="shared" si="8"/>
        <v>0</v>
      </c>
      <c r="AG19" s="834">
        <f t="shared" si="8"/>
        <v>0</v>
      </c>
      <c r="AH19" s="835">
        <f t="shared" si="8"/>
        <v>0</v>
      </c>
      <c r="AI19" s="833">
        <f t="shared" si="8"/>
        <v>0</v>
      </c>
      <c r="AJ19" s="823">
        <f t="shared" si="8"/>
        <v>3424</v>
      </c>
      <c r="AK19" s="823">
        <f t="shared" si="8"/>
        <v>8767</v>
      </c>
      <c r="AL19" s="823">
        <f t="shared" si="8"/>
        <v>0</v>
      </c>
      <c r="AM19" s="836">
        <f t="shared" si="8"/>
        <v>0</v>
      </c>
      <c r="AN19" s="826">
        <f>IF(ISNUMBER(Datos!K19/Datos!J19),Datos!K19/Datos!J19," - ")</f>
        <v>0.82992407756661346</v>
      </c>
      <c r="AO19" s="826">
        <f>IF(ISNUMBER(FIND("06",Criterios!A8,1)),(IF(ISNUMBER(((Datos!R19/Datos!Q19)*11)/factor_trimestre),((Datos!R19/Datos!Q19)*11)/factor_trimestre," - ")),(IF(ISNUMBER(((Datos!L19/Datos!K19)*11)/factor_trimestre),((Datos!L19/Datos!K19)*11)/factor_trimestre," - ")))</f>
        <v>8.8476867497960612</v>
      </c>
      <c r="AP19" s="837" t="str">
        <f>IF(ISNUMBER(Datos!CI19/Datos!CJ19),Datos!CI19/Datos!CJ19," - ")</f>
        <v xml:space="preserve"> - </v>
      </c>
      <c r="AQ19" s="837">
        <f>IF(OR(ISNUMBER(FIND("01",Criterios!A8,1)),ISNUMBER(FIND("02",Criterios!A8,1)),ISNUMBER(FIND("03",Criterios!A8,1)),ISNUMBER(FIND("04",Criterios!A8,1))),(J19-Y19+K19)/(F19-K19),(I19-Y19+K19)/(F19-K19))</f>
        <v>-3.8750480584390621</v>
      </c>
      <c r="AR19" s="837">
        <f>IF(ISNUMBER((Datos!P19-Datos!Q19+O19)/(Datos!R19-Datos!P19+Datos!Q19-O19)),(Datos!P19-Datos!Q19+O19)/(Datos!R19-Datos!P19+Datos!Q19-O19)," - ")</f>
        <v>-4.8163370151554068E-3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926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1270.4449220647073</v>
      </c>
      <c r="G21" s="555">
        <f>IF(ISNUMBER(STDEV(G8:G18)),STDEV(G8:G18),"-")</f>
        <v>1202.6770139983553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841.84457337105027</v>
      </c>
      <c r="AK21" s="255"/>
      <c r="AL21" s="255">
        <f>IF(ISNUMBER(STDEV(AL8:AL18)),STDEV(AL8:AL18),"-")</f>
        <v>0</v>
      </c>
      <c r="AM21" s="257">
        <f>IF(ISNUMBER(STDEV(AM8:AM18)),STDEV(AM8:AM18),"-")</f>
        <v>0</v>
      </c>
      <c r="AN21" s="542">
        <f>IF(ISNUMBER(STDEV(AN8:AN18)),STDEV(AN8:AN18),"-")</f>
        <v>0</v>
      </c>
      <c r="AO21" s="543">
        <f>IF(ISNUMBER(STDEV(AO8:AO18)),STDEV(AO8:AO18),"-")</f>
        <v>6.7871522708404148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LLG0DHODO+VuTuVGTR+36Cu/jYNEeS6K7bWIHxXAX1+IDeuz4nLZY0+jR2+R+F3qiFl6XVvBm/epbcN5RNtmA==" saltValue="cwkXODOWtnxg5PtMyRtI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bZNjb/1fRQU/f0guq4Etd42BxWiCd84ed6l5VQUAX3vQbBtUMefZT/SWtDy2dzjq2T6rG0ZcMcSLxZqwr/Nfw==" saltValue="GuHSuefKQDoNnS6EmtWg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KSjTeu7BMSE8Dv9Ytng3kF4b4XDo967cSLeLuVisOVYIDVa3mWFeuToHlYm8rZLdQ8pLGt79EHsPLcu1JNAtQ==" saltValue="cboZN2UXvJebqSlrv6CcY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ORIHUELA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0.18962722852512157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0.13408669918772459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WI2DXxL9cxAL9YqfM8++oqq+H4jfc9kVVEv7NoKRiKlZjaEuUg3NURiUNhXpwbIHIzzkyGDlbzkV7yuekycNQ==" saltValue="X3ePsDMnr2knXHs8Pxr6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BD5iRAKbaT1JEDjOPw5M6YGyohA7ZDsHWdnAJuajUEjdZ0Z1b7oJJ3q60AdeW9pGOZhHGCXw37TCHDWsK2gNdA==" saltValue="3teXL4aAOqjMThJKWDxD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ORIHUELA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7746</v>
      </c>
      <c r="D9" s="407">
        <f>IF(ISNUMBER(C9/Datos!BH9),C9/Datos!BH9," - ")</f>
        <v>1291</v>
      </c>
      <c r="E9" s="406">
        <f>IF(ISNUMBER(IF(J_V="SI",Datos!J9,Datos!J9+Datos!Z9)),IF(J_V="SI",Datos!J9,Datos!J9+Datos!Z9)," - ")</f>
        <v>10550</v>
      </c>
      <c r="F9" s="407">
        <f>IF(ISNUMBER(E9/B9),E9/B9," - ")</f>
        <v>1758.3333333333333</v>
      </c>
      <c r="G9" s="406">
        <f>IF(ISNUMBER(IF(J_V="SI",Datos!K9,Datos!K9+Datos!AA9)),IF(J_V="SI",Datos!K9,Datos!K9+Datos!AA9)," - ")</f>
        <v>7889</v>
      </c>
      <c r="H9" s="407">
        <f>IF(ISNUMBER(G9/B9),G9/B9," - ")</f>
        <v>1314.8333333333333</v>
      </c>
      <c r="I9" s="406">
        <f>IF(ISNUMBER(IF(J_V="SI",Datos!L9,Datos!L9+Datos!AB9)),IF(J_V="SI",Datos!L9,Datos!L9+Datos!AB9)," - ")</f>
        <v>10406</v>
      </c>
      <c r="J9" s="407">
        <f>IF(ISNUMBER(I9/B9),I9/B9," - ")</f>
        <v>1734.3333333333333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171</v>
      </c>
      <c r="D10" s="407">
        <f>IF(ISNUMBER(C10/Datos!BH10),C10/Datos!BH10," - ")</f>
        <v>171</v>
      </c>
      <c r="E10" s="406">
        <f>IF(ISNUMBER(Datos!J10),Datos!J10," - ")</f>
        <v>178</v>
      </c>
      <c r="F10" s="407">
        <f>IF(ISNUMBER(E10/B10),E10/B10," - ")</f>
        <v>178</v>
      </c>
      <c r="G10" s="406">
        <f>IF(ISNUMBER(Datos!K10),Datos!K10," - ")</f>
        <v>132</v>
      </c>
      <c r="H10" s="407">
        <f>IF(ISNUMBER(G10/B10),G10/B10," - ")</f>
        <v>132</v>
      </c>
      <c r="I10" s="406">
        <f>IF(ISNUMBER(Datos!L10),Datos!L10," - ")</f>
        <v>217</v>
      </c>
      <c r="J10" s="407">
        <f>IF(ISNUMBER(I10/B10),I10/B10," - ")</f>
        <v>217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0</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0</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7917</v>
      </c>
      <c r="D13" s="853" t="str">
        <f>IF(ISNUMBER(C13/Datos!BI13),C13/Datos!BI13," - ")</f>
        <v xml:space="preserve"> - </v>
      </c>
      <c r="E13" s="852">
        <f>SUBTOTAL(9,E8:E12)</f>
        <v>10728</v>
      </c>
      <c r="F13" s="853">
        <f>IF(ISNUMBER(E13/B13),E13/B13," - ")</f>
        <v>1532.5714285714287</v>
      </c>
      <c r="G13" s="852">
        <f>SUBTOTAL(9,G8:G12)</f>
        <v>8021</v>
      </c>
      <c r="H13" s="853">
        <f>IF(ISNUMBER(G13/B13),G13/B13," - ")</f>
        <v>1145.8571428571429</v>
      </c>
      <c r="I13" s="852">
        <f>SUBTOTAL(9,I8:I12)</f>
        <v>10623</v>
      </c>
      <c r="J13" s="853">
        <f>IF(ISNUMBER(I13/B13),I13/B13," - ")</f>
        <v>1517.5714285714287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2334</v>
      </c>
      <c r="D15" s="407">
        <f>IF(ISNUMBER(C15/Datos!BH15),C15/Datos!BH15," - ")</f>
        <v>778</v>
      </c>
      <c r="E15" s="406">
        <f>IF(ISNUMBER(IF(D_I="SI",Datos!J15,Datos!J15+Datos!AD15)),IF(D_I="SI",Datos!J15,Datos!J15+Datos!AD15)," - ")</f>
        <v>9215</v>
      </c>
      <c r="F15" s="407">
        <f>IF(ISNUMBER(E15/B15),E15/B15," - ")</f>
        <v>3071.6666666666665</v>
      </c>
      <c r="G15" s="406">
        <f>IF(ISNUMBER(IF(D_I="SI",Datos!K15,Datos!K15+Datos!AE15)),IF(D_I="SI",Datos!K15,Datos!K15+Datos!AE15)," - ")</f>
        <v>8512</v>
      </c>
      <c r="H15" s="407">
        <f>IF(ISNUMBER(G15/B15),G15/B15," - ")</f>
        <v>2837.3333333333335</v>
      </c>
      <c r="I15" s="406">
        <f>IF(ISNUMBER(IF(D_I="SI",Datos!L15,Datos!L15+Datos!AF15)),IF(D_I="SI",Datos!L15,Datos!L15+Datos!AF15)," - ")</f>
        <v>3133</v>
      </c>
      <c r="J15" s="407">
        <f>IF(ISNUMBER(I15/B15),I15/B15," - ")</f>
        <v>1044.3333333333333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0</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0</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273</v>
      </c>
      <c r="D17" s="407">
        <f>IF(ISNUMBER(C17/Datos!BH17),C17/Datos!BH17," - ")</f>
        <v>273</v>
      </c>
      <c r="E17" s="406">
        <f>IF(ISNUMBER(IF(D_I="SI",Datos!J17,Datos!J17+Datos!AD17)),IF(D_I="SI",Datos!J17,Datos!J17+Datos!AD17)," - ")</f>
        <v>1530</v>
      </c>
      <c r="F17" s="407">
        <f>IF(ISNUMBER(E17/B17),E17/B17," - ")</f>
        <v>1530</v>
      </c>
      <c r="G17" s="406">
        <f>IF(ISNUMBER(IF(D_I="SI",Datos!K17,Datos!K17+Datos!AE17)),IF(D_I="SI",Datos!K17,Datos!K17+Datos!AE17)," - ")</f>
        <v>1435</v>
      </c>
      <c r="H17" s="407">
        <f>IF(ISNUMBER(G17/B17),G17/B17," - ")</f>
        <v>1435</v>
      </c>
      <c r="I17" s="406">
        <f>IF(ISNUMBER(IF(D_I="SI",Datos!L17,Datos!L17+Datos!AF17)),IF(D_I="SI",Datos!L17,Datos!L17+Datos!AF17)," - ")</f>
        <v>368</v>
      </c>
      <c r="J17" s="407">
        <f>IF(ISNUMBER(I17/B17),I17/B17," - ")</f>
        <v>368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2607</v>
      </c>
      <c r="D18" s="853" t="str">
        <f>IF(ISNUMBER(C18/Datos!BI18),C18/Datos!BI18," - ")</f>
        <v xml:space="preserve"> - </v>
      </c>
      <c r="E18" s="852">
        <f>SUBTOTAL(9,E14:E17)</f>
        <v>10745</v>
      </c>
      <c r="F18" s="853">
        <f>IF(ISNUMBER(E18/B18),E18/B18," - ")</f>
        <v>2686.25</v>
      </c>
      <c r="G18" s="852">
        <f>SUBTOTAL(9,G14:G17)</f>
        <v>9947</v>
      </c>
      <c r="H18" s="853">
        <f>IF(ISNUMBER(G18/B18),G18/B18," - ")</f>
        <v>2486.75</v>
      </c>
      <c r="I18" s="852">
        <f>SUBTOTAL(9,I14:I17)</f>
        <v>3501</v>
      </c>
      <c r="J18" s="853">
        <f>IF(ISNUMBER(I18/B18),I18/B18," - ")</f>
        <v>875.25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10524</v>
      </c>
      <c r="D19" s="798" t="str">
        <f>IF(ISNUMBER(C19/Datos!BI19),C19/Datos!BI19," - ")</f>
        <v xml:space="preserve"> - </v>
      </c>
      <c r="E19" s="797">
        <f>SUBTOTAL(9,E9:E18)</f>
        <v>21473</v>
      </c>
      <c r="F19" s="798">
        <f>IF(ISNUMBER(E19/B19),E19/B19," - ")</f>
        <v>2147.3000000000002</v>
      </c>
      <c r="G19" s="797">
        <f>SUBTOTAL(9,G9:G18)</f>
        <v>17968</v>
      </c>
      <c r="H19" s="798">
        <f>IF(ISNUMBER(G19/B19),G19/B19," - ")</f>
        <v>1796.8</v>
      </c>
      <c r="I19" s="797">
        <f>SUBTOTAL(9,I9:I18)</f>
        <v>14124</v>
      </c>
      <c r="J19" s="798">
        <f>IF(ISNUMBER(I19/B19),I19/B19," - ")</f>
        <v>1412.4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pjyrbZ0iTr1BNvh1X752Kao1F/pEQWfW9drzIE+ennxCD7rI+OcN+HilRGuoXJPv5NVHxREXUx/CWdtaGS9yA==" saltValue="DKSXbBOR/JhNo3tzqwbN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ORIHUELA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171</v>
      </c>
      <c r="G10" s="687">
        <f>IF(ISNUMBER(Datos!I10),Datos!I10," - ")</f>
        <v>171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132</v>
      </c>
      <c r="AC10" s="686" t="str">
        <f>IF(ISNUMBER(IF(D_I="SI",DatosP!K17,DatosP!K17+DatosP!AE17)),IF(D_I="SI",DatosP!K17,DatosP!K17+DatosP!AE17)," - ")</f>
        <v xml:space="preserve"> - </v>
      </c>
      <c r="AD10" s="688"/>
      <c r="AE10" s="688"/>
      <c r="AF10" s="691">
        <f>IF(ISNUMBER(Datos!L10),Datos!L10,"-")</f>
        <v>217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44</v>
      </c>
      <c r="AM10" s="693">
        <f>IF(ISNUMBER(Datos!N10+DatosP!N17),Datos!N10+DatosP!N17," - ")</f>
        <v>62</v>
      </c>
      <c r="AN10" s="693">
        <f>IF(ISNUMBER(Datos!BW10+DatosP!BW17),Datos!BW10+DatosP!BW17," - ")</f>
        <v>0</v>
      </c>
      <c r="AO10" s="694">
        <f>IF(ISNUMBER(Datos!BX10+DatosP!BX17),Datos!BX10+DatosP!BX17," - ")</f>
        <v>0</v>
      </c>
      <c r="AP10" s="696">
        <f>IF(ISNUMBER(((Datos!L10/Datos!K10)*11)/factor_trimestre),((Datos!L10/Datos!K10)*11)/factor_trimestre," - ")</f>
        <v>18.083333333333336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171</v>
      </c>
      <c r="G13" s="941">
        <f t="shared" si="0"/>
        <v>171</v>
      </c>
      <c r="H13" s="941">
        <f t="shared" si="0"/>
        <v>0</v>
      </c>
      <c r="I13" s="943">
        <f t="shared" si="0"/>
        <v>0</v>
      </c>
      <c r="J13" s="942">
        <f t="shared" si="0"/>
        <v>0</v>
      </c>
      <c r="K13" s="942">
        <f t="shared" si="0"/>
        <v>0</v>
      </c>
      <c r="L13" s="944">
        <f t="shared" si="0"/>
        <v>0</v>
      </c>
      <c r="M13" s="944">
        <f t="shared" si="0"/>
        <v>0</v>
      </c>
      <c r="N13" s="942">
        <f t="shared" si="0"/>
        <v>42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132</v>
      </c>
      <c r="AC13" s="942">
        <f t="shared" si="1"/>
        <v>0</v>
      </c>
      <c r="AD13" s="942">
        <f t="shared" si="1"/>
        <v>13</v>
      </c>
      <c r="AE13" s="942">
        <f t="shared" si="1"/>
        <v>0</v>
      </c>
      <c r="AF13" s="942">
        <f t="shared" si="1"/>
        <v>217</v>
      </c>
      <c r="AG13" s="942">
        <f t="shared" si="1"/>
        <v>0</v>
      </c>
      <c r="AH13" s="942">
        <f t="shared" si="1"/>
        <v>0</v>
      </c>
      <c r="AI13" s="942">
        <f t="shared" si="1"/>
        <v>0</v>
      </c>
      <c r="AJ13" s="942">
        <f t="shared" si="1"/>
        <v>0</v>
      </c>
      <c r="AK13" s="942">
        <f t="shared" si="1"/>
        <v>0</v>
      </c>
      <c r="AL13" s="942">
        <f t="shared" si="1"/>
        <v>44</v>
      </c>
      <c r="AM13" s="942">
        <f t="shared" si="1"/>
        <v>62</v>
      </c>
      <c r="AN13" s="942">
        <f t="shared" si="1"/>
        <v>0</v>
      </c>
      <c r="AO13" s="942">
        <f t="shared" si="1"/>
        <v>0</v>
      </c>
      <c r="AP13" s="947">
        <f>IF(ISNUMBER(((Datos!L13/Datos!K13)*11)/factor_trimestre),((Datos!L13/Datos!K13)*11)/factor_trimestre," - ")</f>
        <v>15.707969507969507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-0.77192982456140347</v>
      </c>
      <c r="AU13" s="942" t="str">
        <f>IF(ISNUMBER((DatosP!#REF!-DatosP!#REF!+DatosP!#REF!)/(DatosP!#REF!+DatosP!#REF!-DatosP!#REF!-DatosP!#REF!)),(DatosP!#REF!-DatosP!#REF!+DatosP!#REF!)/(DatosP!#REF!+DatosP!#REF!-DatosP!#REF!-DatosP!#REF!)," - ")</f>
        <v xml:space="preserve"> - </v>
      </c>
      <c r="AV13" s="948">
        <f>SUBTOTAL(9,AV9:AV12)</f>
        <v>-1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3.871619583794109</v>
      </c>
      <c r="AQ18" s="947">
        <f>IF(ISNUMBER(((Datos!M18/Datos!L18)*11)/factor_trimestre),((Datos!M18/Datos!L18)*11)/factor_trimestre," - ")</f>
        <v>5.9791488146243932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7.6923076923076927E-2</v>
      </c>
      <c r="AW18" s="949">
        <f>IF(ISNUMBER((Datos!Q18-Datos!R18)/(Datos!S18-Datos!Q18+Datos!R18)),(Datos!Q18-Datos!R18)/(Datos!S18-Datos!Q18+Datos!R18)," - ")</f>
        <v>3.2725321888412019E-2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171</v>
      </c>
      <c r="G19" s="954">
        <f t="shared" si="4"/>
        <v>171</v>
      </c>
      <c r="H19" s="954">
        <f t="shared" si="4"/>
        <v>0</v>
      </c>
      <c r="I19" s="955">
        <f t="shared" si="4"/>
        <v>0</v>
      </c>
      <c r="J19" s="956">
        <f t="shared" si="4"/>
        <v>0</v>
      </c>
      <c r="K19" s="956">
        <f t="shared" si="4"/>
        <v>0</v>
      </c>
      <c r="L19" s="956">
        <f t="shared" si="4"/>
        <v>0</v>
      </c>
      <c r="M19" s="956">
        <f t="shared" si="4"/>
        <v>0</v>
      </c>
      <c r="N19" s="955">
        <f t="shared" si="4"/>
        <v>42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132</v>
      </c>
      <c r="AC19" s="960">
        <f t="shared" si="5"/>
        <v>0</v>
      </c>
      <c r="AD19" s="960">
        <f t="shared" si="5"/>
        <v>13</v>
      </c>
      <c r="AE19" s="960">
        <f t="shared" si="5"/>
        <v>0</v>
      </c>
      <c r="AF19" s="961">
        <f t="shared" si="5"/>
        <v>217</v>
      </c>
      <c r="AG19" s="961">
        <f t="shared" si="5"/>
        <v>0</v>
      </c>
      <c r="AH19" s="961">
        <f t="shared" si="5"/>
        <v>0</v>
      </c>
      <c r="AI19" s="961">
        <f t="shared" si="5"/>
        <v>0</v>
      </c>
      <c r="AJ19" s="962">
        <f t="shared" si="5"/>
        <v>0</v>
      </c>
      <c r="AK19" s="962">
        <f t="shared" si="5"/>
        <v>0</v>
      </c>
      <c r="AL19" s="954">
        <f t="shared" si="5"/>
        <v>44</v>
      </c>
      <c r="AM19" s="954">
        <f t="shared" si="5"/>
        <v>62</v>
      </c>
      <c r="AN19" s="954">
        <f t="shared" si="5"/>
        <v>0</v>
      </c>
      <c r="AO19" s="954">
        <f t="shared" si="5"/>
        <v>0</v>
      </c>
      <c r="AP19" s="954">
        <f>IF(ISNUMBER(((Datos!L19/Datos!K19)*11)/factor_trimestre),((Datos!L19/Datos!K19)*11)/factor_trimestre," - ")</f>
        <v>8.8476867497960612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-0.77192982456140347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-4.8163370151554068E-3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3.2659863237109041</v>
      </c>
      <c r="F21" s="739">
        <f>IF(ISNUMBER(STDEV(F8:F18)),STDEV(F8:F18),"-")</f>
        <v>98.726896031426008</v>
      </c>
      <c r="G21" s="740">
        <f>IF(ISNUMBER(STDEV(G8:G18)),STDEV(G8:G18),"-")</f>
        <v>98.726896031426008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76.210235533030598</v>
      </c>
      <c r="AC21" s="741">
        <f>IF(ISNUMBER(STDEV(AC8:AC18)),STDEV(AC8:AC18),"-")</f>
        <v>0</v>
      </c>
      <c r="AD21" s="744"/>
      <c r="AE21" s="744"/>
      <c r="AF21" s="744"/>
      <c r="AG21" s="744"/>
      <c r="AH21" s="744"/>
      <c r="AI21" s="744"/>
      <c r="AJ21" s="745">
        <f>IF(ISNUMBER(STDEV(AJ8:AJ18)),STDEV(AJ8:AJ18),"-")</f>
        <v>0</v>
      </c>
      <c r="AK21" s="747"/>
      <c r="AL21" s="739">
        <f>IF(ISNUMBER(STDEV(AL8:AL18)),STDEV(AL8:AL18),"-")</f>
        <v>25.403411844343534</v>
      </c>
      <c r="AM21" s="739"/>
      <c r="AN21" s="739">
        <f>IF(ISNUMBER(STDEV(AN8:AN18)),STDEV(AN8:AN18),"-")</f>
        <v>0</v>
      </c>
      <c r="AO21" s="745">
        <f>IF(ISNUMBER(STDEV(AO8:AO18)),STDEV(AO8:AO18),"-")</f>
        <v>0</v>
      </c>
      <c r="AP21" s="782">
        <f>IF(ISNUMBER(STDEV(AP8:AP18)),STDEV(AP8:AP18),"-")</f>
        <v>7.6126467203071178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0G8nC9UTkjQ6t8/Nt7TNHkf36Ing3aEOg6VQFimvG8/t/lsxNlu1P/oxAOE6U1VmMdPH5no+gRqUbi5BRI1bxQ==" saltValue="EDpcfHdB9+KJey+aO78R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ORIHUELA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vAvgi03l46XseTPAFUVpugA0haSTpU9Cx1Q0CG4EZxf4luax0bv9wuvDhi0jFRrRXJS0i3S0Nmw4J2xkXSfgvw==" saltValue="XzlAXYNySNsIaaG2Y2dH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ORIHUELA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1477</v>
      </c>
      <c r="E9" s="407">
        <f t="shared" ref="E9:E13" si="0">IF(ISNUMBER(D9/B9),D9/B9," - ")</f>
        <v>246.16666666666666</v>
      </c>
      <c r="F9" s="406">
        <f>IF(ISNUMBER(Datos!N9),Datos!N9," - ")</f>
        <v>3475</v>
      </c>
      <c r="G9" s="407">
        <f t="shared" ref="G9:G13" si="1">IF(ISNUMBER(F9/B9),F9/B9," - ")</f>
        <v>579.16666666666663</v>
      </c>
      <c r="H9" s="406">
        <f>IF(ISNUMBER(Datos!O9),Datos!O9," - ")</f>
        <v>4438</v>
      </c>
      <c r="I9" s="407">
        <f>IF(ISNUMBER(H9/B9),H9/B9," - ")</f>
        <v>739.66666666666663</v>
      </c>
    </row>
    <row r="10" spans="1:9">
      <c r="A10" s="405" t="str">
        <f>Datos!A10</f>
        <v>Jdos. Violencia contra la mujer</v>
      </c>
      <c r="B10" s="430">
        <f>Datos!AO10</f>
        <v>1</v>
      </c>
      <c r="C10" s="413">
        <f>Datos!AQ10</f>
        <v>1</v>
      </c>
      <c r="D10" s="406">
        <f>IF(ISNUMBER(Datos!M10),Datos!M10," - ")</f>
        <v>44</v>
      </c>
      <c r="E10" s="407">
        <f>IF(ISNUMBER(D10/B10),D10/B10," - ")</f>
        <v>44</v>
      </c>
      <c r="F10" s="406">
        <f>IF(ISNUMBER(Datos!N10),Datos!N10," - ")</f>
        <v>62</v>
      </c>
      <c r="G10" s="407">
        <f>IF(ISNUMBER(F10/B10),F10/B10," - ")</f>
        <v>62</v>
      </c>
      <c r="H10" s="406">
        <f>IF(ISNUMBER(Datos!O10),Datos!O10," - ")</f>
        <v>24</v>
      </c>
      <c r="I10" s="407">
        <f t="shared" ref="I10:I12" si="2">IF(ISNUMBER(H10/B10),H10/B10," - ")</f>
        <v>24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13</v>
      </c>
      <c r="I12" s="407" t="str">
        <f t="shared" si="2"/>
        <v xml:space="preserve"> - </v>
      </c>
    </row>
    <row r="13" spans="1:9" ht="14.25" thickTop="1" thickBot="1">
      <c r="A13" s="851" t="str">
        <f>Datos!A13</f>
        <v>TOTAL</v>
      </c>
      <c r="B13" s="852">
        <f>Datos!AO13</f>
        <v>7</v>
      </c>
      <c r="C13" s="854">
        <f>Datos!AR13</f>
        <v>7</v>
      </c>
      <c r="D13" s="852">
        <f>SUBTOTAL(9,D9:D12)</f>
        <v>1521</v>
      </c>
      <c r="E13" s="853">
        <f t="shared" si="0"/>
        <v>217.28571428571428</v>
      </c>
      <c r="F13" s="852">
        <f>SUBTOTAL(9,F9:F12)</f>
        <v>3537</v>
      </c>
      <c r="G13" s="853">
        <f t="shared" si="1"/>
        <v>505.28571428571428</v>
      </c>
      <c r="H13" s="852">
        <f>SUBTOTAL(9,H9:H12)</f>
        <v>4475</v>
      </c>
      <c r="I13" s="853">
        <f>IF(ISNUMBER(H13/B13),H13/B13," - ")</f>
        <v>639.28571428571433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1620</v>
      </c>
      <c r="E15" s="407">
        <f t="shared" ref="E15:E18" si="3">IF(ISNUMBER(D15/B15),D15/B15," - ")</f>
        <v>540</v>
      </c>
      <c r="F15" s="406">
        <f>IF(ISNUMBER(Datos!N15),Datos!N15," - ")</f>
        <v>4379</v>
      </c>
      <c r="G15" s="407">
        <f t="shared" ref="G15:G18" si="4">IF(ISNUMBER(F15/B15),F15/B15," - ")</f>
        <v>1459.6666666666667</v>
      </c>
      <c r="H15" s="406">
        <f>IF(ISNUMBER(Datos!O15),Datos!O15," - ")</f>
        <v>149</v>
      </c>
      <c r="I15" s="407">
        <f t="shared" ref="I15:I17" si="5">IF(ISNUMBER(H15/B15),H15/B15," - ")</f>
        <v>49.666666666666664</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283</v>
      </c>
      <c r="E17" s="407">
        <f>IF(ISNUMBER(D17/B17),D17/B17," - ")</f>
        <v>283</v>
      </c>
      <c r="F17" s="406">
        <f>IF(ISNUMBER(Datos!N17),Datos!N17," - ")</f>
        <v>851</v>
      </c>
      <c r="G17" s="407">
        <f>IF(ISNUMBER(F17/B17),F17/B17," - ")</f>
        <v>851</v>
      </c>
      <c r="H17" s="406">
        <f>IF(ISNUMBER(Datos!O17),Datos!O17," - ")</f>
        <v>1</v>
      </c>
      <c r="I17" s="407">
        <f t="shared" si="5"/>
        <v>1</v>
      </c>
    </row>
    <row r="18" spans="1:9" ht="14.25" thickTop="1" thickBot="1">
      <c r="A18" s="851" t="str">
        <f>Datos!A18</f>
        <v>TOTAL</v>
      </c>
      <c r="B18" s="852">
        <f>Datos!AO18</f>
        <v>4</v>
      </c>
      <c r="C18" s="854">
        <f>Datos!AR18</f>
        <v>4</v>
      </c>
      <c r="D18" s="852">
        <f>SUBTOTAL(9,D15:D17)</f>
        <v>1903</v>
      </c>
      <c r="E18" s="853">
        <f t="shared" si="3"/>
        <v>475.75</v>
      </c>
      <c r="F18" s="852">
        <f>SUBTOTAL(9,F15:F17)</f>
        <v>5230</v>
      </c>
      <c r="G18" s="853">
        <f t="shared" si="4"/>
        <v>1307.5</v>
      </c>
      <c r="H18" s="852">
        <f>SUBTOTAL(9,H15:H17)</f>
        <v>150</v>
      </c>
      <c r="I18" s="853">
        <f>IF(ISNUMBER(H18/B18),H18/B18," - ")</f>
        <v>37.5</v>
      </c>
    </row>
    <row r="19" spans="1:9" ht="14.25" thickTop="1" thickBot="1">
      <c r="A19" s="796" t="str">
        <f>Datos!A19</f>
        <v>TOTAL JURISDICCIONES</v>
      </c>
      <c r="B19" s="797">
        <f>Datos!AP19</f>
        <v>10</v>
      </c>
      <c r="C19" s="797">
        <f>Datos!AR19</f>
        <v>10</v>
      </c>
      <c r="D19" s="797">
        <f>SUBTOTAL(9,D8:D18)</f>
        <v>3424</v>
      </c>
      <c r="E19" s="798">
        <f>IF(ISNUMBER(D19/B19),D19/B19," - ")</f>
        <v>342.4</v>
      </c>
      <c r="F19" s="797">
        <f>SUBTOTAL(9,F8:F18)</f>
        <v>8767</v>
      </c>
      <c r="G19" s="798">
        <f>IF(ISNUMBER(F19/B19),F19/B19," - ")</f>
        <v>876.7</v>
      </c>
      <c r="H19" s="797">
        <f>SUBTOTAL(9,H8:H18)</f>
        <v>4625</v>
      </c>
      <c r="I19" s="798">
        <f>IF(ISNUMBER(H19/B19),H19/B19," - ")</f>
        <v>462.5</v>
      </c>
    </row>
    <row r="22" spans="1:9">
      <c r="A22" s="394" t="str">
        <f>Criterios!A4</f>
        <v>Fecha Informe: 03 may. 2024</v>
      </c>
    </row>
    <row r="27" spans="1:9">
      <c r="A27" s="417"/>
    </row>
  </sheetData>
  <sheetProtection algorithmName="SHA-512" hashValue="vgL4cnbv8QUvQ72qfPVuS8f76yEWf+Lbhqn/wUnmWRSjzzXGMvxOfzf03agLhMBbQYZjNNWq+KRKZB36vJu1nA==" saltValue="QfAa6ltvslJo5OYQGNx+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ORIHUELA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2461</v>
      </c>
      <c r="C9" s="437">
        <f>IF(ISNUMBER(Datos!Q9),Datos!Q9," - ")</f>
        <v>2499</v>
      </c>
      <c r="D9" s="411">
        <f>IF(ISNUMBER(Datos!R9),Datos!R9," - ")</f>
        <v>15063</v>
      </c>
    </row>
    <row r="10" spans="1:4">
      <c r="A10" s="405" t="str">
        <f>Datos!A10</f>
        <v>Jdos. Violencia contra la mujer</v>
      </c>
      <c r="B10" s="436">
        <f>IF(ISNUMBER(Datos!P10),Datos!P10," - ")</f>
        <v>42</v>
      </c>
      <c r="C10" s="437">
        <f>IF(ISNUMBER(Datos!Q10),Datos!Q10," - ")</f>
        <v>87</v>
      </c>
      <c r="D10" s="411">
        <f>IF(ISNUMBER(Datos!R10),Datos!R10," - ")</f>
        <v>140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0</v>
      </c>
      <c r="C12" s="437">
        <f>IF(ISNUMBER(Datos!Q12),Datos!Q12," - ")</f>
        <v>13</v>
      </c>
      <c r="D12" s="411">
        <f>IF(ISNUMBER(Datos!R12),Datos!R12," - ")</f>
        <v>0</v>
      </c>
    </row>
    <row r="13" spans="1:4" ht="14.25" thickTop="1" thickBot="1">
      <c r="A13" s="851" t="str">
        <f>Datos!A13</f>
        <v>TOTAL</v>
      </c>
      <c r="B13" s="852">
        <f>SUBTOTAL(9,B9:B12)</f>
        <v>2503</v>
      </c>
      <c r="C13" s="856">
        <f>SUBTOTAL(9,C9:C12)</f>
        <v>2599</v>
      </c>
      <c r="D13" s="854">
        <f>SUBTOTAL(9,D9:D12)</f>
        <v>15203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316</v>
      </c>
      <c r="C15" s="437">
        <f>IF(ISNUMBER(Datos!Q15),Datos!Q15," - ")</f>
        <v>306</v>
      </c>
      <c r="D15" s="411">
        <f>IF(ISNUMBER(Datos!R15),Datos!R15," - ")</f>
        <v>266</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60</v>
      </c>
      <c r="C17" s="437">
        <f>IF(ISNUMBER(Datos!Q17),Datos!Q17," - ")</f>
        <v>49</v>
      </c>
      <c r="D17" s="411">
        <f>IF(ISNUMBER(Datos!R17),Datos!R17," - ")</f>
        <v>28</v>
      </c>
    </row>
    <row r="18" spans="1:4" ht="14.25" thickTop="1" thickBot="1">
      <c r="A18" s="851" t="str">
        <f>Datos!A18</f>
        <v>TOTAL</v>
      </c>
      <c r="B18" s="852">
        <f>SUBTOTAL(9,B15:B17)</f>
        <v>376</v>
      </c>
      <c r="C18" s="856">
        <f>SUBTOTAL(9,C15:C17)</f>
        <v>355</v>
      </c>
      <c r="D18" s="854">
        <f>SUBTOTAL(9,D15:D17)</f>
        <v>294</v>
      </c>
    </row>
    <row r="19" spans="1:4" ht="16.5" customHeight="1" thickTop="1" thickBot="1">
      <c r="A19" s="796" t="str">
        <f>Datos!A19</f>
        <v>TOTAL JURISDICCIONES</v>
      </c>
      <c r="B19" s="801">
        <f>SUBTOTAL(9,B8:B18)</f>
        <v>2879</v>
      </c>
      <c r="C19" s="802">
        <f>SUBTOTAL(9,C8:C18)</f>
        <v>2954</v>
      </c>
      <c r="D19" s="803">
        <f>SUBTOTAL(9,D8:D18)</f>
        <v>15497</v>
      </c>
    </row>
    <row r="20" spans="1:4" ht="7.5" customHeight="1"/>
    <row r="21" spans="1:4" ht="6" customHeight="1"/>
    <row r="22" spans="1:4">
      <c r="A22" s="394" t="str">
        <f>Criterios!A4</f>
        <v>Fecha Informe: 03 may. 2024</v>
      </c>
    </row>
    <row r="27" spans="1:4">
      <c r="A27" s="417"/>
    </row>
  </sheetData>
  <sheetProtection algorithmName="SHA-512" hashValue="8vYjDyF0pEm+bUB1Symzep/bT/jDp7k3KwrUsjzJTtiyDb3WxgpsF2H/nCA8JuVmEv5kqKVWRZRff8bZhLrxYg==" saltValue="m8DCEUEAw8Ys0x7bYfRG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ORIHUELA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0.29618473895582331</v>
      </c>
      <c r="C9" s="459">
        <f>IF(ISNUMBER(
   IF(J_V="SI",(Datos!J9-Datos!T9)/Datos!T9,(Datos!J9+Datos!Z9-(Datos!T9+Datos!AH9))/(Datos!T9+Datos!AH9))
     ),IF(J_V="SI",(Datos!J9-Datos!T9)/Datos!T9,(Datos!J9+Datos!Z9-(Datos!T9+Datos!AH9))/(Datos!T9+Datos!AH9))," - ")</f>
        <v>2.7363910799493622E-2</v>
      </c>
      <c r="D9" s="459">
        <f>IF(ISNUMBER(
   IF(J_V="SI",(Datos!K9-Datos!U9)/Datos!U9,(Datos!K9+Datos!AA9-(Datos!U9+Datos!AI9))/(Datos!U9+Datos!AI9))
     ),IF(J_V="SI",(Datos!K9-Datos!U9)/Datos!U9,(Datos!K9+Datos!AA9-(Datos!U9+Datos!AI9))/(Datos!U9+Datos!AI9))," - ")</f>
        <v>-8.5227272727272721E-2</v>
      </c>
      <c r="E9" s="459">
        <f>IF(ISNUMBER(
   IF(J_V="SI",(Datos!L9-Datos!V9)/Datos!V9,(Datos!L9+Datos!AB9-(Datos!V9+Datos!AJ9))/(Datos!V9+Datos!AJ9))
     ),IF(J_V="SI",(Datos!L9-Datos!V9)/Datos!V9,(Datos!L9+Datos!AB9-(Datos!V9+Datos!AJ9))/(Datos!V9+Datos!AJ9))," - ")</f>
        <v>0.34340304673379807</v>
      </c>
      <c r="F9" s="459">
        <f>IF(ISNUMBER((Datos!M9-Datos!W9)/Datos!W9),(Datos!M9-Datos!W9)/Datos!W9," - ")</f>
        <v>-0.15984072810011377</v>
      </c>
      <c r="G9" s="460">
        <f>IF(ISNUMBER((Datos!N9-Datos!X9)/Datos!X9),(Datos!N9-Datos!X9)/Datos!X9," - ")</f>
        <v>-6.5106268496099004E-2</v>
      </c>
      <c r="H9" s="458">
        <f>IF(ISNUMBER(((NºAsuntos!G9/NºAsuntos!E9)-Datos!BD9)/Datos!BD9),((NºAsuntos!G9/NºAsuntos!E9)-Datos!BD9)/Datos!BD9," - ")</f>
        <v>-0.10959230934941834</v>
      </c>
      <c r="I9" s="459">
        <f>IF(ISNUMBER(((NºAsuntos!I9/NºAsuntos!G9)-Datos!BE9)/Datos!BE9),((NºAsuntos!I9/NºAsuntos!G9)-Datos!BE9)/Datos!BE9," - ")</f>
        <v>0.46856482127421406</v>
      </c>
      <c r="J9" s="464">
        <f>IF(ISNUMBER((('Resol  Asuntos'!D9/NºAsuntos!G9)-Datos!BF9)/Datos!BF9),(('Resol  Asuntos'!D9/NºAsuntos!G9)-Datos!BF9)/Datos!BF9," - ")</f>
        <v>-0.56561509398650145</v>
      </c>
      <c r="K9" s="465">
        <f>IF(ISNUMBER((((NºAsuntos!C9+NºAsuntos!E9)/NºAsuntos!G9)-Datos!BG9)/Datos!BG9),(((NºAsuntos!C9+NºAsuntos!E9)/NºAsuntos!G9)-Datos!BG9)/Datos!BG9," - ")</f>
        <v>0.23118475058737611</v>
      </c>
    </row>
    <row r="10" spans="1:11">
      <c r="A10" s="405" t="str">
        <f>Datos!A10</f>
        <v>Jdos. Violencia contra la mujer</v>
      </c>
      <c r="B10" s="458">
        <f>IF(ISNUMBER((Datos!I10-Datos!S10)/Datos!S10),(Datos!I10-Datos!S10)/Datos!S10," - ")</f>
        <v>0.5</v>
      </c>
      <c r="C10" s="459">
        <f>IF(ISNUMBER((Datos!J10-Datos!T10)/Datos!T10),(Datos!J10-Datos!T10)/Datos!T10," - ")</f>
        <v>-0.11442786069651742</v>
      </c>
      <c r="D10" s="459">
        <f>IF(ISNUMBER((Datos!K10-Datos!U10)/Datos!U10),(Datos!K10-Datos!U10)/Datos!U10," - ")</f>
        <v>-8.3333333333333329E-2</v>
      </c>
      <c r="E10" s="459">
        <f>IF(ISNUMBER((Datos!L10-Datos!V10)/Datos!V10),(Datos!L10-Datos!V10)/Datos!V10," - ")</f>
        <v>0.26900584795321636</v>
      </c>
      <c r="F10" s="459">
        <f>IF(ISNUMBER((Datos!M10-Datos!W10)/Datos!W10),(Datos!M10-Datos!W10)/Datos!W10," - ")</f>
        <v>-0.21428571428571427</v>
      </c>
      <c r="G10" s="460">
        <f>IF(ISNUMBER((Datos!N10-Datos!X10)/Datos!X10),(Datos!N10-Datos!X10)/Datos!X10," - ")</f>
        <v>-1.5873015873015872E-2</v>
      </c>
      <c r="H10" s="458">
        <f>IF(ISNUMBER(((NºAsuntos!G10/NºAsuntos!E10)-Datos!BD10)/Datos!BD10),((NºAsuntos!G10/NºAsuntos!E10)-Datos!BD10)/Datos!BD10," - ")</f>
        <v>3.5112359550561904E-2</v>
      </c>
      <c r="I10" s="459">
        <f>IF(ISNUMBER(((NºAsuntos!I10/NºAsuntos!G10)-Datos!BE10)/Datos!BE10),((NºAsuntos!I10/NºAsuntos!G10)-Datos!BE10)/Datos!BE10," - ")</f>
        <v>0.38437001594896342</v>
      </c>
      <c r="J10" s="464">
        <f>IF(ISNUMBER((('Resol  Asuntos'!D10/NºAsuntos!G10)-Datos!BF10)/Datos!BF10),(('Resol  Asuntos'!D10/NºAsuntos!G10)-Datos!BF10)/Datos!BF10," - ")</f>
        <v>-0.1428571428571429</v>
      </c>
      <c r="K10" s="465">
        <f>IF(ISNUMBER((((NºAsuntos!C10+NºAsuntos!E10)/NºAsuntos!G10)-Datos!BG10)/Datos!BG10),(((NºAsuntos!C10+NºAsuntos!E10)/NºAsuntos!G10)-Datos!BG10)/Datos!BG10," - ")</f>
        <v>0.20865800865800871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v>
      </c>
      <c r="C12" s="459" t="str">
        <f>IF(ISNUMBER(
   IF(J_V="SI",(Datos!J12-Datos!T12)/Datos!T12,(Datos!J12+Datos!Z12-(Datos!T12+Datos!AH12))/(Datos!T12+Datos!AH12))
     ),IF(J_V="SI",(Datos!J12-Datos!T12)/Datos!T12,(Datos!J12+Datos!Z12-(Datos!T12+Datos!AH12))/(Datos!T12+Datos!AH12))," - ")</f>
        <v xml:space="preserve"> - </v>
      </c>
      <c r="D12" s="459">
        <f>IF(ISNUMBER(
   IF(J_V="SI",(Datos!K12-Datos!U12)/Datos!U12,(Datos!K12+Datos!AA12-(Datos!U12+Datos!AI12))/(Datos!U12+Datos!AI12))
     ),IF(J_V="SI",(Datos!K12-Datos!U12)/Datos!U12,(Datos!K12+Datos!AA12-(Datos!U12+Datos!AI12))/(Datos!U12+Datos!AI12))," - ")</f>
        <v>-1</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0.29935992122107336</v>
      </c>
      <c r="C13" s="858">
        <f>IF(ISNUMBER(
   IF(J_V="SI",(Datos!J13-Datos!T13)/Datos!T13,(Datos!J13+Datos!Z13-(Datos!T13+Datos!AH13))/(Datos!T13+Datos!AH13))
     ),IF(J_V="SI",(Datos!J13-Datos!T13)/Datos!T13,(Datos!J13+Datos!Z13-(Datos!T13+Datos!AH13))/(Datos!T13+Datos!AH13))," - ")</f>
        <v>2.4641833810888251E-2</v>
      </c>
      <c r="D13" s="858">
        <f>IF(ISNUMBER(
   IF(J_V="SI",(Datos!K13-Datos!U13)/Datos!U13,(Datos!K13+Datos!AA13-(Datos!U13+Datos!AI13))/(Datos!U13+Datos!AI13))
     ),IF(J_V="SI",(Datos!K13-Datos!U13)/Datos!U13,(Datos!K13+Datos!AA13-(Datos!U13+Datos!AI13))/(Datos!U13+Datos!AI13))," - ")</f>
        <v>-8.5404789053591793E-2</v>
      </c>
      <c r="E13" s="858">
        <f>IF(ISNUMBER(
   IF(J_V="SI",(Datos!L13-Datos!V13)/Datos!V13,(Datos!L13+Datos!AB13-(Datos!V13+Datos!AJ13))/(Datos!V13+Datos!AJ13))
     ),IF(J_V="SI",(Datos!L13-Datos!V13)/Datos!V13,(Datos!L13+Datos!AB13-(Datos!V13+Datos!AJ13))/(Datos!V13+Datos!AJ13))," - ")</f>
        <v>0.34179613489958316</v>
      </c>
      <c r="F13" s="859">
        <f>IF(ISNUMBER((Datos!M13-Datos!W13)/Datos!W13),(Datos!M13-Datos!W13)/Datos!W13," - ")</f>
        <v>-0.16152149944873209</v>
      </c>
      <c r="G13" s="860">
        <f>IF(ISNUMBER((Datos!N13-Datos!X13)/Datos!X13),(Datos!N13-Datos!X13)/Datos!X13," - ")</f>
        <v>-6.4285714285714279E-2</v>
      </c>
      <c r="H13" s="860">
        <f>IF(ISNUMBER(((NºAsuntos!G13/NºAsuntos!E13)-Datos!BD13)/Datos!BD13),((NºAsuntos!G13/NºAsuntos!E13)-Datos!BD13)/Datos!BD13," - ")</f>
        <v>-0.10740008775084879</v>
      </c>
      <c r="I13" s="860">
        <f>IF(ISNUMBER(((NºAsuntos!I13/NºAsuntos!G13)-Datos!BE13)/Datos!BE13),((NºAsuntos!I13/NºAsuntos!G13)-Datos!BE13)/Datos!BE13," - ")</f>
        <v>0.46709289403682142</v>
      </c>
      <c r="J13" s="860">
        <f>IF(ISNUMBER((('Resol  Asuntos'!D13/NºAsuntos!G13)-Datos!BF13)/Datos!BF13),(('Resol  Asuntos'!D13/NºAsuntos!G13)-Datos!BF13)/Datos!BF13," - ")</f>
        <v>-0.55922851996678602</v>
      </c>
      <c r="K13" s="860">
        <f>IF(ISNUMBER((((NºAsuntos!C13+NºAsuntos!E13)/NºAsuntos!G13)-Datos!BG13)/Datos!BG13),(((NºAsuntos!C13+NºAsuntos!E13)/NºAsuntos!G13)-Datos!BG13)/Datos!BG13," - ")</f>
        <v>0.23081976827672146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0.36172695449241538</v>
      </c>
      <c r="C15" s="459">
        <f>IF(ISNUMBER(
   IF(D_I="SI",(Datos!J15-Datos!T15)/Datos!T15,(Datos!J15+Datos!AD15-(Datos!T15+Datos!AL15))/(Datos!T15+Datos!AL15))
     ),IF(D_I="SI",(Datos!J15-Datos!T15)/Datos!T15,(Datos!J15+Datos!AD15-(Datos!T15+Datos!AL15))/(Datos!T15+Datos!AL15))," - ")</f>
        <v>-1.0850694444444444E-4</v>
      </c>
      <c r="D15" s="459">
        <f>IF(ISNUMBER(
   IF(D_I="SI",(Datos!K15-Datos!U15)/Datos!U15,(Datos!K15+Datos!AE15-(Datos!U15+Datos!AM15))/(Datos!U15+Datos!AM15))
     ),IF(D_I="SI",(Datos!K15-Datos!U15)/Datos!U15,(Datos!K15+Datos!AE15-(Datos!U15+Datos!AM15))/(Datos!U15+Datos!AM15))," - ")</f>
        <v>-2.5975512072319486E-2</v>
      </c>
      <c r="E15" s="459">
        <f>IF(ISNUMBER(
   IF(D_I="SI",(Datos!L15-Datos!V15)/Datos!V15,(Datos!L15+Datos!AF15-(Datos!V15+Datos!AN15))/(Datos!V15+Datos!AN15))
     ),IF(D_I="SI",(Datos!L15-Datos!V15)/Datos!V15,(Datos!L15+Datos!AF15-(Datos!V15+Datos!AN15))/(Datos!V15+Datos!AN15))," - ")</f>
        <v>0.34233076263924594</v>
      </c>
      <c r="F15" s="459">
        <f>IF(ISNUMBER((Datos!M15-Datos!W15)/Datos!W15),(Datos!M15-Datos!W15)/Datos!W15," - ")</f>
        <v>1.8552875695732839E-3</v>
      </c>
      <c r="G15" s="460">
        <f>IF(ISNUMBER((Datos!N15-Datos!X15)/Datos!X15),(Datos!N15-Datos!X15)/Datos!X15," - ")</f>
        <v>-5.6656613528651444E-2</v>
      </c>
      <c r="H15" s="458">
        <f>IF(ISNUMBER(((NºAsuntos!G15/NºAsuntos!E15)-Datos!BD15)/Datos!BD15),((NºAsuntos!G15/NºAsuntos!E15)-Datos!BD15)/Datos!BD15," - ")</f>
        <v>-2.586981218214823E-2</v>
      </c>
      <c r="I15" s="459">
        <f>IF(ISNUMBER(((NºAsuntos!I15/NºAsuntos!G15)-Datos!BE15)/Datos!BE15),((NºAsuntos!I15/NºAsuntos!G15)-Datos!BE15)/Datos!BE15," - ")</f>
        <v>0.37812835229139685</v>
      </c>
      <c r="J15" s="464">
        <f>IF(ISNUMBER((('Resol  Asuntos'!D15/NºAsuntos!G15)-Datos!BF15)/Datos!BF15),(('Resol  Asuntos'!D15/NºAsuntos!G15)-Datos!BF15)/Datos!BF15," - ")</f>
        <v>2.8572997893620802E-2</v>
      </c>
      <c r="K15" s="465">
        <f>IF(ISNUMBER((((NºAsuntos!C15+NºAsuntos!E15)/NºAsuntos!G15)-Datos!BG15)/Datos!BG15),(((NºAsuntos!C15+NºAsuntos!E15)/NºAsuntos!G15)-Datos!BG15)/Datos!BG15," - ")</f>
        <v>8.4811658176777854E-2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v>
      </c>
      <c r="C16" s="459" t="str">
        <f>IF(ISNUMBER(
   IF(D_I="SI",(Datos!J16-Datos!T16)/Datos!T16,(Datos!J16+Datos!AD16-(Datos!T16+Datos!AL16))/(Datos!T16+Datos!AL16))
     ),IF(D_I="SI",(Datos!J16-Datos!T16)/Datos!T16,(Datos!J16+Datos!AD16-(Datos!T16+Datos!AL16))/(Datos!T16+Datos!AL16))," - ")</f>
        <v xml:space="preserve"> - </v>
      </c>
      <c r="D16" s="459">
        <f>IF(ISNUMBER(
   IF(D_I="SI",(Datos!K16-Datos!U16)/Datos!U16,(Datos!K16+Datos!AE16-(Datos!U16+Datos!AM16))/(Datos!U16+Datos!AM16))
     ),IF(D_I="SI",(Datos!K16-Datos!U16)/Datos!U16,(Datos!K16+Datos!AE16-(Datos!U16+Datos!AM16))/(Datos!U16+Datos!AM16))," - ")</f>
        <v>-1</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0.30622009569377989</v>
      </c>
      <c r="C17" s="459">
        <f>IF(ISNUMBER(
   IF(D_I="SI",(Datos!J17-Datos!T17)/Datos!T17,(Datos!J17+Datos!AD17-(Datos!T17+Datos!AL17))/(Datos!T17+Datos!AL17))
     ),IF(D_I="SI",(Datos!J17-Datos!T17)/Datos!T17,(Datos!J17+Datos!AD17-(Datos!T17+Datos!AL17))/(Datos!T17+Datos!AL17))," - ")</f>
        <v>-3.6523929471032744E-2</v>
      </c>
      <c r="D17" s="459">
        <f>IF(ISNUMBER(
   IF(D_I="SI",(Datos!K17-Datos!U17)/Datos!U17,(Datos!K17+Datos!AE17-(Datos!U17+Datos!AM17))/(Datos!U17+Datos!AM17))
     ),IF(D_I="SI",(Datos!K17-Datos!U17)/Datos!U17,(Datos!K17+Datos!AE17-(Datos!U17+Datos!AM17))/(Datos!U17+Datos!AM17))," - ")</f>
        <v>-5.8398950131233598E-2</v>
      </c>
      <c r="E17" s="459">
        <f>IF(ISNUMBER(
   IF(D_I="SI",(Datos!L17-Datos!V17)/Datos!V17,(Datos!L17+Datos!AF17-(Datos!V17+Datos!AN17))/(Datos!V17+Datos!AN17))
     ),IF(D_I="SI",(Datos!L17-Datos!V17)/Datos!V17,(Datos!L17+Datos!AF17-(Datos!V17+Datos!AN17))/(Datos!V17+Datos!AN17))," - ")</f>
        <v>0.34798534798534797</v>
      </c>
      <c r="F17" s="459">
        <f>IF(ISNUMBER((Datos!M17-Datos!W17)/Datos!W17),(Datos!M17-Datos!W17)/Datos!W17," - ")</f>
        <v>0.10116731517509728</v>
      </c>
      <c r="G17" s="460">
        <f>IF(ISNUMBER((Datos!N17-Datos!X17)/Datos!X17),(Datos!N17-Datos!X17)/Datos!X17," - ")</f>
        <v>-0.15069860279441119</v>
      </c>
      <c r="H17" s="458">
        <f>IF(ISNUMBER(((NºAsuntos!G17/NºAsuntos!E17)-Datos!BD17)/Datos!BD17),((NºAsuntos!G17/NºAsuntos!E17)-Datos!BD17)/Datos!BD17," - ")</f>
        <v>-2.2704269809411037E-2</v>
      </c>
      <c r="I17" s="459">
        <f>IF(ISNUMBER(((NºAsuntos!I17/NºAsuntos!G17)-Datos!BE17)/Datos!BE17),((NºAsuntos!I17/NºAsuntos!G17)-Datos!BE17)/Datos!BE17," - ")</f>
        <v>0.43158862043879481</v>
      </c>
      <c r="J17" s="464">
        <f>IF(ISNUMBER((('Resol  Asuntos'!D17/NºAsuntos!G17)-Datos!BF17)/Datos!BF17),(('Resol  Asuntos'!D17/NºAsuntos!G17)-Datos!BF17)/Datos!BF17," - ")</f>
        <v>0.16946270963543442</v>
      </c>
      <c r="K17" s="465">
        <f>IF(ISNUMBER((((NºAsuntos!C17+NºAsuntos!E17)/NºAsuntos!G17)-Datos!BG17)/Datos!BG17),(((NºAsuntos!C17+NºAsuntos!E17)/NºAsuntos!G17)-Datos!BG17)/Datos!BG17," - ")</f>
        <v>6.5566885575843739E-2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0.35428571428571426</v>
      </c>
      <c r="C18" s="858">
        <f>IF(ISNUMBER(
   IF(Criterios!B14="SI",(Datos!J18-Datos!T18)/Datos!T18,(Datos!J18+Datos!AD18-(Datos!T18+Datos!AL18))/(Datos!T18+Datos!AL18))
     ),IF(Criterios!B14="SI",(Datos!J18-Datos!T18)/Datos!T18,(Datos!J18+Datos!AD18-(Datos!T18+Datos!AL18))/(Datos!T18+Datos!AL18))," - ")</f>
        <v>-5.4609403924472414E-3</v>
      </c>
      <c r="D18" s="858">
        <f>IF(ISNUMBER(
   IF(Criterios!B14="SI",(Datos!K18-Datos!U18)/Datos!U18,(Datos!K18+Datos!AE18-(Datos!U18+Datos!AM18))/(Datos!U18+Datos!AM18))
     ),IF(Criterios!B14="SI",(Datos!K18-Datos!U18)/Datos!U18,(Datos!K18+Datos!AE18-(Datos!U18+Datos!AM18))/(Datos!U18+Datos!AM18))," - ")</f>
        <v>-3.0979055041402824E-2</v>
      </c>
      <c r="E18" s="858">
        <f>IF(ISNUMBER(
   IF(Criterios!B14="SI",(Datos!L18-Datos!V18)/Datos!V18,(Datos!L18+Datos!AF18-(Datos!V18+Datos!AN18))/(Datos!V18+Datos!AN18))
     ),IF(Criterios!B14="SI",(Datos!L18-Datos!V18)/Datos!V18,(Datos!L18+Datos!AF18-(Datos!V18+Datos!AN18))/(Datos!V18+Datos!AN18))," - ")</f>
        <v>0.34292289988492519</v>
      </c>
      <c r="F18" s="859">
        <f>IF(ISNUMBER((Datos!M18-Datos!W18)/Datos!W18),(Datos!M18-Datos!W18)/Datos!W18," - ")</f>
        <v>1.5474919957310566E-2</v>
      </c>
      <c r="G18" s="860">
        <f>IF(ISNUMBER((Datos!N18-Datos!X18)/Datos!X18),(Datos!N18-Datos!X18)/Datos!X18," - ")</f>
        <v>-7.3352232459248753E-2</v>
      </c>
      <c r="H18" s="860">
        <f>IF(ISNUMBER(((NºAsuntos!G18/NºAsuntos!E18)-Datos!BD18)/Datos!BD18),((NºAsuntos!G18/NºAsuntos!E18)-Datos!BD18)/Datos!BD18," - ")</f>
        <v>-2.5658232728461242E-2</v>
      </c>
      <c r="I18" s="860">
        <f>IF(ISNUMBER(((NºAsuntos!I18/NºAsuntos!G18)-Datos!BE18)/Datos!BE18),((NºAsuntos!I18/NºAsuntos!G18)-Datos!BE18)/Datos!BE18," - ")</f>
        <v>0.38585539030046823</v>
      </c>
      <c r="J18" s="860">
        <f>IF(ISNUMBER((('Resol  Asuntos'!D18/NºAsuntos!G18)-Datos!BF18)/Datos!BF18),(('Resol  Asuntos'!D18/NºAsuntos!G18)-Datos!BF18)/Datos!BF18," - ")</f>
        <v>4.7939082473287778E-2</v>
      </c>
      <c r="K18" s="860">
        <f>IF(ISNUMBER((((NºAsuntos!C18+NºAsuntos!E18)/NºAsuntos!G18)-Datos!BG18)/Datos!BG18),(((NºAsuntos!C18+NºAsuntos!E18)/NºAsuntos!G18)-Datos!BG18)/Datos!BG18," - ")</f>
        <v>8.2477487348829842E-2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0.31254676976802193</v>
      </c>
      <c r="C19" s="805">
        <f>IF(ISNUMBER(
   IF(J_V="SI",(Datos!J19-Datos!T19)/Datos!T19,(Datos!J19+Datos!Z19-(Datos!T19+Datos!AH19))/(Datos!T19+Datos!AH19))
     ),IF(J_V="SI",(Datos!J19-Datos!T19)/Datos!T19,(Datos!J19+Datos!Z19-(Datos!T19+Datos!AH19))/(Datos!T19+Datos!AH19))," - ")</f>
        <v>9.3541412052270383E-3</v>
      </c>
      <c r="D19" s="805">
        <f>IF(ISNUMBER(
   IF(J_V="SI",(Datos!K19-Datos!U19)/Datos!U19,(Datos!K19+Datos!AA19-(Datos!U19+Datos!AI19))/(Datos!U19+Datos!AI19))
     ),IF(J_V="SI",(Datos!K19-Datos!U19)/Datos!U19,(Datos!K19+Datos!AA19-(Datos!U19+Datos!AI19))/(Datos!U19+Datos!AI19))," - ")</f>
        <v>-5.605463619648017E-2</v>
      </c>
      <c r="E19" s="805">
        <f>IF(ISNUMBER(
   IF(J_V="SI",(Datos!L19-Datos!V19)/Datos!V19,(Datos!L19+Datos!AB19-(Datos!V19+Datos!AJ19))/(Datos!V19+Datos!AJ19))
     ),IF(J_V="SI",(Datos!L19-Datos!V19)/Datos!V19,(Datos!L19+Datos!AB19-(Datos!V19+Datos!AJ19))/(Datos!V19+Datos!AJ19))," - ")</f>
        <v>0.34207525655644244</v>
      </c>
      <c r="F19" s="806">
        <f>IF(ISNUMBER((Datos!M19-Datos!W19)/Datos!W19),(Datos!M19-Datos!W19)/Datos!W19," - ")</f>
        <v>-7.1583514099783085E-2</v>
      </c>
      <c r="G19" s="807">
        <f>IF(ISNUMBER((Datos!N19-Datos!X19)/Datos!X19),(Datos!N19-Datos!X19)/Datos!X19," - ")</f>
        <v>-6.9715619694397282E-2</v>
      </c>
      <c r="H19" s="808">
        <f>IF(ISNUMBER((Tasas!B19-Datos!BD19)/Datos!BD19),(Tasas!B19-Datos!BD19)/Datos!BD19," - ")</f>
        <v>-6.4802604686998527E-2</v>
      </c>
      <c r="I19" s="809">
        <f>IF(ISNUMBER((Tasas!C19-Datos!BE19)/Datos!BE19),(Tasas!C19-Datos!BE19)/Datos!BE19," - ")</f>
        <v>0.4217721787929587</v>
      </c>
      <c r="J19" s="810">
        <f>IF(ISNUMBER((Tasas!D19-Datos!BF19)/Datos!BF19),(Tasas!D19-Datos!BF19)/Datos!BF19," - ")</f>
        <v>-0.35765387211800975</v>
      </c>
      <c r="K19" s="810">
        <f>IF(ISNUMBER((Tasas!E19-Datos!BG19)/Datos!BG19),(Tasas!E19-Datos!BG19)/Datos!BG19," - ")</f>
        <v>0.15721319785403925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SOVDDsijF66wrzz9c8Hbtoes5x8ZU6GXJgLSAWHUR2j4eBsXVcKYGG8aEfi6naOsuKRuTnZ6SkFEKgzg1ybhw==" saltValue="qamGjoU5dFs7WDstwdz4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ORIHUELA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0.74777251184834126</v>
      </c>
      <c r="C9" s="446">
        <f>IF(ISNUMBER(NºAsuntos!I9/NºAsuntos!G9),NºAsuntos!I9/NºAsuntos!G9," - ")</f>
        <v>1.3190518443402206</v>
      </c>
      <c r="D9" s="447">
        <f>IF(ISNUMBER('Resol  Asuntos'!D9/NºAsuntos!G9),'Resol  Asuntos'!D9/NºAsuntos!G9," - ")</f>
        <v>0.18722271517302574</v>
      </c>
      <c r="E9" s="448">
        <f>IF(ISNUMBER((NºAsuntos!C9+NºAsuntos!E9)/NºAsuntos!G9),(NºAsuntos!C9+NºAsuntos!E9)/NºAsuntos!G9," - ")</f>
        <v>2.319178603118266</v>
      </c>
      <c r="G9" s="466"/>
    </row>
    <row r="10" spans="1:7">
      <c r="A10" s="405" t="str">
        <f>Datos!A10</f>
        <v>Jdos. Violencia contra la mujer</v>
      </c>
      <c r="B10" s="445">
        <f>IF(ISNUMBER(NºAsuntos!G10/NºAsuntos!E10),NºAsuntos!G10/NºAsuntos!E10," - ")</f>
        <v>0.7415730337078652</v>
      </c>
      <c r="C10" s="446">
        <f>IF(ISNUMBER(NºAsuntos!I10/NºAsuntos!G10),NºAsuntos!I10/NºAsuntos!G10," - ")</f>
        <v>1.643939393939394</v>
      </c>
      <c r="D10" s="447">
        <f>IF(ISNUMBER('Resol  Asuntos'!D10/NºAsuntos!G10),'Resol  Asuntos'!D10/NºAsuntos!G10," - ")</f>
        <v>0.33333333333333331</v>
      </c>
      <c r="E10" s="448">
        <f>IF(ISNUMBER((NºAsuntos!C10+NºAsuntos!E10)/NºAsuntos!G10),(NºAsuntos!C10+NºAsuntos!E10)/NºAsuntos!G10," - ")</f>
        <v>2.643939393939394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0.74766964951528714</v>
      </c>
      <c r="C13" s="862">
        <f>IF(ISNUMBER(NºAsuntos!I13/NºAsuntos!G13),NºAsuntos!I13/NºAsuntos!G13," - ")</f>
        <v>1.3243984540580975</v>
      </c>
      <c r="D13" s="863">
        <f>IF(ISNUMBER('Resol  Asuntos'!D13/NºAsuntos!G13),'Resol  Asuntos'!D13/NºAsuntos!G13," - ")</f>
        <v>0.18962722852512157</v>
      </c>
      <c r="E13" s="864">
        <f>IF(ISNUMBER((NºAsuntos!C13+NºAsuntos!E13)/NºAsuntos!G13),(NºAsuntos!C13+NºAsuntos!E13)/NºAsuntos!G13," - ")</f>
        <v>2.3245231267921707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0.92371134020618562</v>
      </c>
      <c r="C15" s="446">
        <f>IF(ISNUMBER(NºAsuntos!I15/NºAsuntos!G15),NºAsuntos!I15/NºAsuntos!G15," - ")</f>
        <v>0.36806860902255639</v>
      </c>
      <c r="D15" s="447">
        <f>IF(ISNUMBER('Resol  Asuntos'!D15/NºAsuntos!G15),'Resol  Asuntos'!D15/NºAsuntos!G15," - ")</f>
        <v>0.19031954887218044</v>
      </c>
      <c r="E15" s="448">
        <f>IF(ISNUMBER((NºAsuntos!C15+NºAsuntos!E15)/NºAsuntos!G15),(NºAsuntos!C15+NºAsuntos!E15)/NºAsuntos!G15," - ")</f>
        <v>1.3567904135338347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0.93790849673202614</v>
      </c>
      <c r="C17" s="446">
        <f>IF(ISNUMBER(NºAsuntos!I17/NºAsuntos!G17),NºAsuntos!I17/NºAsuntos!G17," - ")</f>
        <v>0.2564459930313589</v>
      </c>
      <c r="D17" s="447">
        <f>IF(ISNUMBER('Resol  Asuntos'!D17/NºAsuntos!G17),'Resol  Asuntos'!D17/NºAsuntos!G17," - ")</f>
        <v>0.19721254355400697</v>
      </c>
      <c r="E17" s="448">
        <f>IF(ISNUMBER((NºAsuntos!C17+NºAsuntos!E17)/NºAsuntos!G17),(NºAsuntos!C17+NºAsuntos!E17)/NºAsuntos!G17," - ")</f>
        <v>1.256445993031359</v>
      </c>
      <c r="G17" s="466"/>
    </row>
    <row r="18" spans="1:7" ht="14.25" thickTop="1" thickBot="1">
      <c r="A18" s="851" t="str">
        <f>Datos!A18</f>
        <v>TOTAL</v>
      </c>
      <c r="B18" s="861">
        <f>IF(ISNUMBER(NºAsuntos!G18/NºAsuntos!E18),NºAsuntos!G18/NºAsuntos!E18," - ")</f>
        <v>0.92573289902280131</v>
      </c>
      <c r="C18" s="862">
        <f>IF(ISNUMBER(NºAsuntos!I18/NºAsuntos!G18),NºAsuntos!I18/NºAsuntos!G18," - ")</f>
        <v>0.35196541670855536</v>
      </c>
      <c r="D18" s="865">
        <f>IF(ISNUMBER('Resol  Asuntos'!D18/NºAsuntos!G18),'Resol  Asuntos'!D18/NºAsuntos!G18," - ")</f>
        <v>0.19131396400924902</v>
      </c>
      <c r="E18" s="864">
        <f>IF(ISNUMBER((NºAsuntos!C18+NºAsuntos!E18)/NºAsuntos!G18),(NºAsuntos!C18+NºAsuntos!E18)/NºAsuntos!G18," - ")</f>
        <v>1.3423142656077209</v>
      </c>
      <c r="G18" s="466"/>
    </row>
    <row r="19" spans="1:7" ht="15.75" customHeight="1" thickTop="1" thickBot="1">
      <c r="A19" s="796" t="str">
        <f>Datos!A19</f>
        <v>TOTAL JURISDICCIONES</v>
      </c>
      <c r="B19" s="811">
        <f>IF(ISNUMBER(NºAsuntos!G19/NºAsuntos!E19),NºAsuntos!G19/NºAsuntos!E19," - ")</f>
        <v>0.83677175988450614</v>
      </c>
      <c r="C19" s="812">
        <f>IF(ISNUMBER(NºAsuntos!I19/NºAsuntos!G19),NºAsuntos!I19/NºAsuntos!G19," - ")</f>
        <v>0.78606411398040965</v>
      </c>
      <c r="D19" s="813">
        <f>IF(ISNUMBER('Resol  Asuntos'!D19/NºAsuntos!G19),'Resol  Asuntos'!D19/NºAsuntos!G19," - ")</f>
        <v>0.19056099732858414</v>
      </c>
      <c r="E19" s="814">
        <f>IF(ISNUMBER((NºAsuntos!C19+NºAsuntos!E19)/NºAsuntos!G19),(NºAsuntos!C19+NºAsuntos!E19)/NºAsuntos!G19," - ")</f>
        <v>1.7807769367764916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xRpVFkWUJ5epVEjDYlf+Z7UOV4kjeslp2f1KfgTMaZsSadM2CcgIUH47GWTLhi2gXOcGaRFGimrUJaH7RR/OQ==" saltValue="fypsVJJgRgmC/1QFo+d5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ORIHUELA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2461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2499</v>
      </c>
      <c r="Y9" s="337">
        <f>SUM(W9:X9)</f>
        <v>2499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15063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1477</v>
      </c>
      <c r="AJ9" s="232" t="str">
        <f>IF(ISNUMBER(Datos!BW9),Datos!BW9," - ")</f>
        <v xml:space="preserve"> - </v>
      </c>
      <c r="AK9" s="231" t="str">
        <f>IF(ISNUMBER(Datos!BX9),Datos!BX9," - ")</f>
        <v xml:space="preserve"> - </v>
      </c>
      <c r="AL9" s="246">
        <f>IF(ISNUMBER(NºAsuntos!G9/NºAsuntos!E9),NºAsuntos!G9/NºAsuntos!E9," - ")</f>
        <v>0.74777251184834126</v>
      </c>
      <c r="AM9" s="263">
        <f>IF(ISNUMBER(((NºAsuntos!I9/NºAsuntos!G9)*11)/factor_trimestre),((NºAsuntos!I9/NºAsuntos!G9)*11)/factor_trimestre," - ")</f>
        <v>14.509570287742427</v>
      </c>
      <c r="AN9" s="247">
        <f>IF(ISNUMBER('Resol  Asuntos'!D9/NºAsuntos!G9),'Resol  Asuntos'!D9/NºAsuntos!G9," - ")</f>
        <v>0.18722271517302574</v>
      </c>
      <c r="AO9" s="248">
        <f>IF(ISNUMBER((NºAsuntos!C9+NºAsuntos!E9)/NºAsuntos!G9),(NºAsuntos!C9+NºAsuntos!E9)/NºAsuntos!G9," - ")</f>
        <v>2.319178603118266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171</v>
      </c>
      <c r="G10" s="336">
        <f>IF(ISNUMBER(Datos!I10),Datos!I10," - ")</f>
        <v>171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132</v>
      </c>
      <c r="X10" s="229">
        <f>IF(ISNUMBER(Datos!Q10),Datos!Q10," - ")</f>
        <v>87</v>
      </c>
      <c r="Y10" s="337">
        <f t="shared" ref="Y10:Y12" si="0">SUM(W10:X10)</f>
        <v>219</v>
      </c>
      <c r="Z10" s="338" t="str">
        <f>IF(ISNUMBER(Datos!CC10),Datos!CC10," - ")</f>
        <v xml:space="preserve"> - </v>
      </c>
      <c r="AA10" s="335">
        <f>IF(ISNUMBER(Datos!L10),Datos!L10,"-")</f>
        <v>217</v>
      </c>
      <c r="AB10" s="337">
        <f>IF(ISNUMBER(Datos!R10),Datos!R10," - ")</f>
        <v>140</v>
      </c>
      <c r="AC10" s="337">
        <f t="shared" ref="AC10:AC12" si="1">IF(ISNUMBER(AA10+AB10),AA10+AB10," - ")</f>
        <v>357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44</v>
      </c>
      <c r="AJ10" s="234" t="str">
        <f>IF(ISNUMBER(Datos!BW10),Datos!BW10," - ")</f>
        <v xml:space="preserve"> - </v>
      </c>
      <c r="AK10" s="235" t="str">
        <f>IF(ISNUMBER(Datos!BX10),Datos!BX10," - ")</f>
        <v xml:space="preserve"> - </v>
      </c>
      <c r="AL10" s="246">
        <f>IF(ISNUMBER(NºAsuntos!G10/NºAsuntos!E10),NºAsuntos!G10/NºAsuntos!E10," - ")</f>
        <v>0.7415730337078652</v>
      </c>
      <c r="AM10" s="263">
        <f>IF(ISNUMBER(((NºAsuntos!I10/NºAsuntos!G10)*11)/factor_trimestre),((NºAsuntos!I10/NºAsuntos!G10)*11)/factor_trimestre," - ")</f>
        <v>18.083333333333336</v>
      </c>
      <c r="AN10" s="247">
        <f>IF(ISNUMBER('Resol  Asuntos'!D10/NºAsuntos!G10),'Resol  Asuntos'!D10/NºAsuntos!G10," - ")</f>
        <v>0.33333333333333331</v>
      </c>
      <c r="AO10" s="248">
        <f>IF(ISNUMBER((NºAsuntos!C10+NºAsuntos!E10)/NºAsuntos!G10),(NºAsuntos!C10+NºAsuntos!E10)/NºAsuntos!G10," - ")</f>
        <v>2.643939393939394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v>
      </c>
      <c r="Y12" s="337">
        <f t="shared" si="0"/>
        <v>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171</v>
      </c>
      <c r="G13" s="869">
        <f t="shared" si="3"/>
        <v>171</v>
      </c>
      <c r="H13" s="868">
        <f t="shared" si="3"/>
        <v>0</v>
      </c>
      <c r="I13" s="870">
        <f t="shared" si="3"/>
        <v>0</v>
      </c>
      <c r="J13" s="870">
        <f t="shared" si="3"/>
        <v>0</v>
      </c>
      <c r="K13" s="870">
        <f t="shared" si="3"/>
        <v>0</v>
      </c>
      <c r="L13" s="870">
        <f t="shared" si="3"/>
        <v>2503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132</v>
      </c>
      <c r="X13" s="870">
        <f t="shared" si="4"/>
        <v>2599</v>
      </c>
      <c r="Y13" s="871">
        <f t="shared" si="4"/>
        <v>2731</v>
      </c>
      <c r="Z13" s="871">
        <f t="shared" si="4"/>
        <v>0</v>
      </c>
      <c r="AA13" s="871">
        <f t="shared" si="4"/>
        <v>217</v>
      </c>
      <c r="AB13" s="871">
        <f t="shared" si="4"/>
        <v>15203</v>
      </c>
      <c r="AC13" s="871">
        <f t="shared" si="4"/>
        <v>357</v>
      </c>
      <c r="AD13" s="871">
        <f t="shared" si="4"/>
        <v>0</v>
      </c>
      <c r="AE13" s="875">
        <f t="shared" si="4"/>
        <v>0</v>
      </c>
      <c r="AF13" s="868">
        <f t="shared" si="4"/>
        <v>0</v>
      </c>
      <c r="AG13" s="876">
        <f t="shared" si="4"/>
        <v>0</v>
      </c>
      <c r="AH13" s="873">
        <f t="shared" si="4"/>
        <v>0</v>
      </c>
      <c r="AI13" s="868">
        <f t="shared" si="4"/>
        <v>1521</v>
      </c>
      <c r="AJ13" s="870">
        <f t="shared" si="4"/>
        <v>0</v>
      </c>
      <c r="AK13" s="873">
        <f>SUBTOTAL(9,AK9:AK12)</f>
        <v>0</v>
      </c>
      <c r="AL13" s="877">
        <f>IF(ISNUMBER(NºAsuntos!G13/NºAsuntos!E13),NºAsuntos!G13/NºAsuntos!E13," - ")</f>
        <v>0.74766964951528714</v>
      </c>
      <c r="AM13" s="877">
        <f>IF(ISNUMBER(((NºAsuntos!I13/NºAsuntos!G13)*11)/factor_trimestre),((NºAsuntos!I13/NºAsuntos!G13)*11)/factor_trimestre," - ")</f>
        <v>14.568382994639073</v>
      </c>
      <c r="AN13" s="878">
        <f>IF(ISNUMBER('Resol  Asuntos'!D13/NºAsuntos!G13),'Resol  Asuntos'!D13/NºAsuntos!G13," - ")</f>
        <v>0.18962722852512157</v>
      </c>
      <c r="AO13" s="879">
        <f>IF(ISNUMBER((NºAsuntos!C13+NºAsuntos!E13)/NºAsuntos!G13),(NºAsuntos!C13+NºAsuntos!E13)/NºAsuntos!G13," - ")</f>
        <v>2.3245231267921707</v>
      </c>
      <c r="AP13" s="880" t="str">
        <f t="shared" si="2"/>
        <v xml:space="preserve"> - </v>
      </c>
      <c r="AQ13" s="880">
        <f>IF(ISNUMBER((H13-W13+K13)/(F13)),(H13-W13+K13)/(F13)," - ")</f>
        <v>-0.77192982456140347</v>
      </c>
      <c r="AR13" s="881">
        <f>IF(ISNUMBER((Datos!P13-Datos!Q13)/(Datos!R13-Datos!P13+Datos!Q13)),(Datos!P13-Datos!Q13)/(Datos!R13-Datos!P13+Datos!Q13)," - ")</f>
        <v>-6.2749199294071505E-3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2430</v>
      </c>
      <c r="G15" s="336">
        <f>IF(ISNUMBER(IF(D_I="SI",Datos!I15,Datos!I15+Datos!AC15)),IF(D_I="SI",Datos!I15,Datos!I15+Datos!AC15)," - ")</f>
        <v>2334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316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8512</v>
      </c>
      <c r="X15" s="229">
        <f>IF(ISNUMBER(Datos!Q15),Datos!Q15," - ")</f>
        <v>306</v>
      </c>
      <c r="Y15" s="337">
        <f>SUM(W15)</f>
        <v>8512</v>
      </c>
      <c r="Z15" s="338" t="str">
        <f>IF(ISNUMBER(Datos!CC15),Datos!CC15," - ")</f>
        <v xml:space="preserve"> - </v>
      </c>
      <c r="AA15" s="335">
        <f>IF(ISNUMBER(IF(D_I="SI",Datos!L15,Datos!L15+Datos!AF15)),IF(D_I="SI",Datos!L15,Datos!L15+Datos!AF15)," - ")</f>
        <v>3133</v>
      </c>
      <c r="AB15" s="337">
        <f>IF(ISNUMBER(Datos!R15),Datos!R15," - ")</f>
        <v>266</v>
      </c>
      <c r="AC15" s="337">
        <f t="shared" ref="AC15:AC17" si="6">IF(ISNUMBER(AA15+AB15),AA15+AB15," - ")</f>
        <v>3399</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1620</v>
      </c>
      <c r="AJ15" s="234" t="str">
        <f>IF(ISNUMBER(Datos!BW15),Datos!BW15," - ")</f>
        <v xml:space="preserve"> - </v>
      </c>
      <c r="AK15" s="235" t="str">
        <f>IF(ISNUMBER(Datos!BX15),Datos!BX15," - ")</f>
        <v xml:space="preserve"> - </v>
      </c>
      <c r="AL15" s="246">
        <f>IF(ISNUMBER(NºAsuntos!G15/NºAsuntos!E15),NºAsuntos!G15/NºAsuntos!E15," - ")</f>
        <v>0.92371134020618562</v>
      </c>
      <c r="AM15" s="263">
        <f>IF(ISNUMBER(((NºAsuntos!I15/NºAsuntos!G15)*11)/factor_trimestre),((NºAsuntos!I15/NºAsuntos!G15)*11)/factor_trimestre," - ")</f>
        <v>4.0487546992481205</v>
      </c>
      <c r="AN15" s="247">
        <f>IF(ISNUMBER('Resol  Asuntos'!D15/NºAsuntos!G15),'Resol  Asuntos'!D15/NºAsuntos!G15," - ")</f>
        <v>0.19031954887218044</v>
      </c>
      <c r="AO15" s="248">
        <f>IF(ISNUMBER((NºAsuntos!C15+NºAsuntos!E15)/NºAsuntos!G15),(NºAsuntos!C15+NºAsuntos!E15)/NºAsuntos!G15," - ")</f>
        <v>1.3567904135338347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0</v>
      </c>
      <c r="G16" s="336">
        <f>IF(ISNUMBER(IF(D_I="SI",Datos!I16,Datos!I16+Datos!AC16)),IF(D_I="SI",Datos!I16,Datos!I16+Datos!AC16)," - ")</f>
        <v>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0</v>
      </c>
      <c r="AB16" s="337">
        <f>IF(ISNUMBER(Datos!R16),Datos!R16," - ")</f>
        <v>0</v>
      </c>
      <c r="AC16" s="337">
        <f t="shared" si="6"/>
        <v>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273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1435</v>
      </c>
      <c r="X17" s="229">
        <f>IF(ISNUMBER(Datos!Q17),Datos!Q17," - ")</f>
        <v>49</v>
      </c>
      <c r="Y17" s="337">
        <f t="shared" si="7"/>
        <v>1484</v>
      </c>
      <c r="Z17" s="338" t="str">
        <f>IF(ISNUMBER(Datos!CC17),Datos!CC17," - ")</f>
        <v xml:space="preserve"> - </v>
      </c>
      <c r="AA17" s="335">
        <f>IF(ISNUMBER(Datos!L17),Datos!L17,"-")</f>
        <v>368</v>
      </c>
      <c r="AB17" s="337">
        <f>IF(ISNUMBER(Datos!R17),Datos!R17," - ")</f>
        <v>28</v>
      </c>
      <c r="AC17" s="337">
        <f t="shared" si="6"/>
        <v>396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283</v>
      </c>
      <c r="AJ17" s="234" t="str">
        <f>IF(ISNUMBER(Datos!BW17),Datos!BW17," - ")</f>
        <v xml:space="preserve"> - </v>
      </c>
      <c r="AK17" s="235" t="str">
        <f>IF(ISNUMBER(Datos!BX17),Datos!BX17," - ")</f>
        <v xml:space="preserve"> - </v>
      </c>
      <c r="AL17" s="246">
        <f>IF(ISNUMBER(NºAsuntos!G17/NºAsuntos!E17),NºAsuntos!G17/NºAsuntos!E17," - ")</f>
        <v>0.93790849673202614</v>
      </c>
      <c r="AM17" s="263">
        <f>IF(ISNUMBER(((NºAsuntos!I17/NºAsuntos!G17)*11)/factor_trimestre),((NºAsuntos!I17/NºAsuntos!G17)*11)/factor_trimestre," - ")</f>
        <v>2.8209059233449478</v>
      </c>
      <c r="AN17" s="247">
        <f>IF(ISNUMBER('Resol  Asuntos'!D17/NºAsuntos!G17),'Resol  Asuntos'!D17/NºAsuntos!G17," - ")</f>
        <v>0.19721254355400697</v>
      </c>
      <c r="AO17" s="248">
        <f>IF(ISNUMBER((NºAsuntos!C17+NºAsuntos!E17)/NºAsuntos!G17),(NºAsuntos!C17+NºAsuntos!E17)/NºAsuntos!G17," - ")</f>
        <v>1.256445993031359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2430</v>
      </c>
      <c r="G18" s="869">
        <f>SUBTOTAL(9,G15:G17)</f>
        <v>2607</v>
      </c>
      <c r="H18" s="868">
        <f t="shared" ref="H18:O18" si="10">SUBTOTAL(9,H14:H17)</f>
        <v>0</v>
      </c>
      <c r="I18" s="870">
        <f t="shared" si="10"/>
        <v>0</v>
      </c>
      <c r="J18" s="870">
        <f t="shared" si="10"/>
        <v>0</v>
      </c>
      <c r="K18" s="870">
        <f t="shared" si="10"/>
        <v>0</v>
      </c>
      <c r="L18" s="870">
        <f t="shared" si="10"/>
        <v>376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9947</v>
      </c>
      <c r="X18" s="870">
        <f t="shared" si="11"/>
        <v>355</v>
      </c>
      <c r="Y18" s="871">
        <f t="shared" si="11"/>
        <v>9996</v>
      </c>
      <c r="Z18" s="871">
        <f t="shared" si="11"/>
        <v>0</v>
      </c>
      <c r="AA18" s="871">
        <f t="shared" si="11"/>
        <v>3501</v>
      </c>
      <c r="AB18" s="871">
        <f t="shared" si="11"/>
        <v>294</v>
      </c>
      <c r="AC18" s="871">
        <f t="shared" si="11"/>
        <v>3795</v>
      </c>
      <c r="AD18" s="871">
        <f t="shared" si="11"/>
        <v>0</v>
      </c>
      <c r="AE18" s="875">
        <f t="shared" si="11"/>
        <v>0</v>
      </c>
      <c r="AF18" s="868">
        <f t="shared" si="11"/>
        <v>0</v>
      </c>
      <c r="AG18" s="876">
        <f t="shared" si="11"/>
        <v>0</v>
      </c>
      <c r="AH18" s="873">
        <f t="shared" si="11"/>
        <v>0</v>
      </c>
      <c r="AI18" s="868">
        <f t="shared" si="11"/>
        <v>1903</v>
      </c>
      <c r="AJ18" s="870">
        <f t="shared" si="11"/>
        <v>0</v>
      </c>
      <c r="AK18" s="873">
        <f t="shared" si="11"/>
        <v>0</v>
      </c>
      <c r="AL18" s="877">
        <f>IF(ISNUMBER(NºAsuntos!G18/NºAsuntos!E18),NºAsuntos!G18/NºAsuntos!E18," - ")</f>
        <v>0.92573289902280131</v>
      </c>
      <c r="AM18" s="877">
        <f>IF(ISNUMBER(((NºAsuntos!I18/NºAsuntos!G18)*11)/factor_trimestre),((NºAsuntos!I18/NºAsuntos!G18)*11)/factor_trimestre," - ")</f>
        <v>3.871619583794109</v>
      </c>
      <c r="AN18" s="878">
        <f>IF(ISNUMBER('Resol  Asuntos'!D18/NºAsuntos!G18),'Resol  Asuntos'!D18/NºAsuntos!G18," - ")</f>
        <v>0.19131396400924902</v>
      </c>
      <c r="AO18" s="879">
        <f>IF(ISNUMBER((NºAsuntos!C18+NºAsuntos!E18)/NºAsuntos!G18),(NºAsuntos!C18+NºAsuntos!E18)/NºAsuntos!G18," - ")</f>
        <v>1.3423142656077209</v>
      </c>
      <c r="AP18" s="880" t="str">
        <f t="shared" si="2"/>
        <v xml:space="preserve"> - </v>
      </c>
      <c r="AQ18" s="880">
        <f>IF(ISNUMBER((H18-W18+K18)/(F18)),(H18-W18+K18)/(F18)," - ")</f>
        <v>-4.0934156378600823</v>
      </c>
      <c r="AR18" s="881">
        <f>IF(ISNUMBER((Datos!P18-Datos!Q18)/(Datos!R18-Datos!P18+Datos!Q18)),(Datos!P18-Datos!Q18)/(Datos!R18-Datos!P18+Datos!Q18)," - ")</f>
        <v>7.6923076923076927E-2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2601</v>
      </c>
      <c r="G19" s="824">
        <f t="shared" si="13"/>
        <v>2778</v>
      </c>
      <c r="H19" s="823">
        <f t="shared" si="13"/>
        <v>0</v>
      </c>
      <c r="I19" s="825">
        <f t="shared" si="13"/>
        <v>0</v>
      </c>
      <c r="J19" s="825">
        <f t="shared" si="13"/>
        <v>0</v>
      </c>
      <c r="K19" s="884">
        <f t="shared" si="13"/>
        <v>0</v>
      </c>
      <c r="L19" s="825">
        <f t="shared" si="13"/>
        <v>2879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10079</v>
      </c>
      <c r="X19" s="824">
        <f t="shared" si="14"/>
        <v>2954</v>
      </c>
      <c r="Y19" s="831">
        <f t="shared" si="14"/>
        <v>12727</v>
      </c>
      <c r="Z19" s="831">
        <f t="shared" si="14"/>
        <v>0</v>
      </c>
      <c r="AA19" s="831">
        <f t="shared" si="14"/>
        <v>3718</v>
      </c>
      <c r="AB19" s="831">
        <f t="shared" si="14"/>
        <v>15497</v>
      </c>
      <c r="AC19" s="831">
        <f t="shared" si="14"/>
        <v>4152</v>
      </c>
      <c r="AD19" s="831">
        <f t="shared" si="14"/>
        <v>0</v>
      </c>
      <c r="AE19" s="833">
        <f t="shared" si="14"/>
        <v>0</v>
      </c>
      <c r="AF19" s="834">
        <f t="shared" si="14"/>
        <v>0</v>
      </c>
      <c r="AG19" s="835">
        <f t="shared" si="14"/>
        <v>0</v>
      </c>
      <c r="AH19" s="833">
        <f t="shared" si="14"/>
        <v>0</v>
      </c>
      <c r="AI19" s="823">
        <f t="shared" si="14"/>
        <v>3424</v>
      </c>
      <c r="AJ19" s="823">
        <f t="shared" si="14"/>
        <v>0</v>
      </c>
      <c r="AK19" s="833">
        <f t="shared" si="14"/>
        <v>0</v>
      </c>
      <c r="AL19" s="887">
        <f>IF(ISNUMBER(NºAsuntos!G19/NºAsuntos!E19),NºAsuntos!G19/NºAsuntos!E19," - ")</f>
        <v>0.83677175988450614</v>
      </c>
      <c r="AM19" s="888">
        <f>IF(ISNUMBER(((NºAsuntos!I19/NºAsuntos!G19)*11)/factor_trimestre),((NºAsuntos!I19/NºAsuntos!G19)*11)/factor_trimestre," - ")</f>
        <v>8.6467052537845071</v>
      </c>
      <c r="AN19" s="888">
        <f>IF(ISNUMBER('Resol  Asuntos'!D19/NºAsuntos!G19),'Resol  Asuntos'!D19/NºAsuntos!G19," - ")</f>
        <v>0.19056099732858414</v>
      </c>
      <c r="AO19" s="889">
        <f>IF(ISNUMBER((NºAsuntos!C19+NºAsuntos!E19)/NºAsuntos!G19),(NºAsuntos!C19+NºAsuntos!E19)/NºAsuntos!G19," - ")</f>
        <v>1.7807769367764916</v>
      </c>
      <c r="AP19" s="890" t="str">
        <f t="shared" si="2"/>
        <v xml:space="preserve"> - </v>
      </c>
      <c r="AQ19" s="891">
        <f>IF(OR(ISNUMBER(FIND("01",Criterios!A8,1)),ISNUMBER(FIND("02",Criterios!A8,1)),ISNUMBER(FIND("03",Criterios!A8,1)),ISNUMBER(FIND("04",Criterios!A8,1))),(I19-W19+K19)/(F19-K19),(H19-W19+K19)/(F19-K19))</f>
        <v>-3.8750480584390621</v>
      </c>
      <c r="AR19" s="892">
        <f>IF(ISNUMBER((Datos!P19-Datos!Q19)/(Datos!R19-Datos!P19+Datos!Q19)),(Datos!P19-Datos!Q19)/(Datos!R19-Datos!P19+Datos!Q19)," - ")</f>
        <v>-4.8163370151554068E-3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926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2.6977356760397742</v>
      </c>
      <c r="F21" s="255">
        <f>IF(ISNUMBER(STDEV(F8:F18)),STDEV(F8:F18),"-")</f>
        <v>1270.4449220647073</v>
      </c>
      <c r="G21" s="256">
        <f>IF(ISNUMBER(STDEV(G8:G18)),STDEV(G8:G18),"-")</f>
        <v>1202.6770139983553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4599.2796247528449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841.84457337105027</v>
      </c>
      <c r="AJ21" s="255">
        <f t="shared" si="18"/>
        <v>0</v>
      </c>
      <c r="AK21" s="257">
        <f t="shared" si="18"/>
        <v>0</v>
      </c>
      <c r="AL21" s="252">
        <f t="shared" si="18"/>
        <v>0.10061981528618227</v>
      </c>
      <c r="AM21" s="253">
        <f t="shared" si="18"/>
        <v>6.7871522708404148</v>
      </c>
      <c r="AN21" s="253">
        <f t="shared" si="18"/>
        <v>5.8145545669201333E-2</v>
      </c>
      <c r="AO21" s="254">
        <f t="shared" si="18"/>
        <v>0.62056910428007261</v>
      </c>
      <c r="AP21" s="294" t="str">
        <f t="shared" si="18"/>
        <v>-</v>
      </c>
      <c r="AQ21" s="295">
        <f t="shared" si="18"/>
        <v>2.3486451421984116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nqsh37x9H8I5VVIssYOrODKDJYTdZZIhj7pn//OJcf3L4uMf898f6AOmHKJHMCRa/yp6dRVd+8p1eOqmYVs5w==" saltValue="4RfTmPk6gA1MGGDTfKNm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ORIHUELA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-0.15984072810011377</v>
      </c>
      <c r="I9" s="353">
        <f>IF(ISNUMBER((Tasas!C9-Datos!BE9)/Datos!BE9),(Tasas!C9-Datos!BE9)/Datos!BE9," - ")</f>
        <v>0.46856482127421406</v>
      </c>
      <c r="J9" s="352">
        <f>IF(ISNUMBER((Tasas!D9-Datos!BF9)/Datos!BF9),(Tasas!D9-Datos!BF9)/Datos!BF9," - ")</f>
        <v>-0.56561509398650145</v>
      </c>
      <c r="K9" s="354">
        <f>IF(ISNUMBER((Tasas!E9-Datos!BG9)/Datos!BG9),(Tasas!E9-Datos!BG9)/Datos!BG9," - ")</f>
        <v>0.23118475058737611</v>
      </c>
      <c r="M9" t="e">
        <f>IF(Monitorios="SI",Datos!CE9,0)</f>
        <v>#REF!</v>
      </c>
      <c r="N9" t="e">
        <f>IF(Monitorios="SI",Datos!CF9,0)</f>
        <v>#REF!</v>
      </c>
      <c r="O9" t="e">
        <f>IF(Monitorios="SI",Datos!CG9,0)</f>
        <v>#REF!</v>
      </c>
      <c r="P9" t="e">
        <f>IF(Monitorios="SI",Datos!CH9,0)</f>
        <v>#REF!</v>
      </c>
      <c r="Q9">
        <f>IF(J_V="SI",0,Datos!AG9)</f>
        <v>319</v>
      </c>
      <c r="R9">
        <f>IF(J_V="SI",0,Datos!AH9)</f>
        <v>919</v>
      </c>
      <c r="S9">
        <f>IF(J_V="SI",0,Datos!AI9)</f>
        <v>913</v>
      </c>
      <c r="T9">
        <f>IF(J_V="SI",0,Datos!AJ9)</f>
        <v>338</v>
      </c>
    </row>
    <row r="10" spans="2:20" ht="14.25">
      <c r="B10" s="278" t="s">
        <v>246</v>
      </c>
      <c r="C10" s="7" t="str">
        <f>Datos!A10</f>
        <v>Jdos. Violencia contra la mujer</v>
      </c>
      <c r="D10" s="355">
        <f>IF(ISNUMBER((Datos!I10-Datos!S10)/Datos!S10),(Datos!I10-Datos!S10)/Datos!S10," - ")</f>
        <v>0.5</v>
      </c>
      <c r="E10" s="351">
        <f>IF(ISNUMBER((Datos!J10-Datos!T10)/Datos!T10),(Datos!J10-Datos!T10)/Datos!T10," - ")</f>
        <v>-0.11442786069651742</v>
      </c>
      <c r="F10" s="351">
        <f>IF(ISNUMBER((Datos!K10-Datos!U10)/Datos!U10),(Datos!K10-Datos!U10)/Datos!U10," - ")</f>
        <v>-8.3333333333333329E-2</v>
      </c>
      <c r="G10" s="352">
        <f>IF(ISNUMBER((Datos!L10-Datos!V10)/Datos!V10),(Datos!L10-Datos!V10)/Datos!V10," - ")</f>
        <v>0.26900584795321636</v>
      </c>
      <c r="H10" s="233">
        <f>IF(ISNUMBER((Datos!M10-Datos!W10)/Datos!W10),(Datos!M10-Datos!W10)/Datos!W10," - ")</f>
        <v>-0.21428571428571427</v>
      </c>
      <c r="I10" s="353">
        <f>IF(ISNUMBER((Tasas!C10-Datos!BE10)/Datos!BE10),(Tasas!C10-Datos!BE10)/Datos!BE10," - ")</f>
        <v>0.38437001594896342</v>
      </c>
      <c r="J10" s="352">
        <f>IF(ISNUMBER((Tasas!D10-Datos!BF10)/Datos!BF10),(Tasas!D10-Datos!BF10)/Datos!BF10," - ")</f>
        <v>-0.1428571428571429</v>
      </c>
      <c r="K10" s="354">
        <f>IF(ISNUMBER((Tasas!E10-Datos!BG10)/Datos!BG10),(Tasas!E10-Datos!BG10)/Datos!BG10," - ")</f>
        <v>0.20865800865800871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-0.16152149944873209</v>
      </c>
      <c r="I13" s="360">
        <f>IF(ISNUMBER((Tasas!C13-Datos!BE13)/Datos!BE13),(Tasas!C13-Datos!BE13)/Datos!BE13," - ")</f>
        <v>0.46709289403682142</v>
      </c>
      <c r="J13" s="358">
        <f>IF(ISNUMBER((Tasas!D13-Datos!BF13)/Datos!BF13),(Tasas!D13-Datos!BF13)/Datos!BF13," - ")</f>
        <v>-0.55922851996678602</v>
      </c>
      <c r="K13" s="361">
        <f>IF(ISNUMBER((Tasas!E13-Datos!BG13)/Datos!BG13),(Tasas!E13-Datos!BG13)/Datos!BG13," - ")</f>
        <v>0.23081976827672146</v>
      </c>
      <c r="M13" t="e">
        <f>IF(Monitorios="SI",Datos!CE13,0)</f>
        <v>#REF!</v>
      </c>
      <c r="N13" t="e">
        <f>IF(Monitorios="SI",Datos!CF13,0)</f>
        <v>#REF!</v>
      </c>
      <c r="O13" t="e">
        <f>IF(Monitorios="SI",Datos!CG13,0)</f>
        <v>#REF!</v>
      </c>
      <c r="P13" t="e">
        <f>IF(Monitorios="SI",Datos!CH13,0)</f>
        <v>#REF!</v>
      </c>
      <c r="Q13">
        <f>IF(J_V="SI",0,Datos!AG13)</f>
        <v>319</v>
      </c>
      <c r="R13">
        <f>IF(J_V="SI",0,Datos!AH13)</f>
        <v>919</v>
      </c>
      <c r="S13">
        <f>IF(J_V="SI",0,Datos!AI13)</f>
        <v>913</v>
      </c>
      <c r="T13">
        <f>IF(J_V="SI",0,Datos!AJ13)</f>
        <v>338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0.36172695449241538</v>
      </c>
      <c r="E15" s="351">
        <f>IF(ISNUMBER(
   IF(D_I="SI",(Datos!J15-Datos!T15)/Datos!T15,(Datos!J15+Datos!AD15-(Datos!T15+Datos!AL15))/(Datos!T15+Datos!AL15))
     ),IF(D_I="SI",(Datos!J15-Datos!T15)/Datos!T15,(Datos!J15+Datos!AD15-(Datos!T15+Datos!AL15))/(Datos!T15+Datos!AL15))," - ")</f>
        <v>-1.0850694444444444E-4</v>
      </c>
      <c r="F15" s="351">
        <f>IF(ISNUMBER(
   IF(D_I="SI",(Datos!K15-Datos!U15)/Datos!U15,(Datos!K15+Datos!AE15-(Datos!U15+Datos!AM15))/(Datos!U15+Datos!AM15))
     ),IF(D_I="SI",(Datos!K15-Datos!U15)/Datos!U15,(Datos!K15+Datos!AE15-(Datos!U15+Datos!AM15))/(Datos!U15+Datos!AM15))," - ")</f>
        <v>-2.5975512072319486E-2</v>
      </c>
      <c r="G15" s="352">
        <f>IF(ISNUMBER(
   IF(D_I="SI",(Datos!L15-Datos!V15)/Datos!V15,(Datos!L15+Datos!AF15-(Datos!V15+Datos!AN15))/(Datos!V15+Datos!AN15))
     ),IF(D_I="SI",(Datos!L15-Datos!V15)/Datos!V15,(Datos!L15+Datos!AF15-(Datos!V15+Datos!AN15))/(Datos!V15+Datos!AN15))," - ")</f>
        <v>0.34233076263924594</v>
      </c>
      <c r="H15" s="233">
        <f>IF(ISNUMBER((Datos!M15-Datos!W15)/Datos!W15),(Datos!M15-Datos!W15)/Datos!W15," - ")</f>
        <v>1.8552875695732839E-3</v>
      </c>
      <c r="I15" s="353">
        <f>IF(ISNUMBER((Tasas!C15-Datos!BE15)/Datos!BE15),(Tasas!C15-Datos!BE15)/Datos!BE15," - ")</f>
        <v>0.37812835229139685</v>
      </c>
      <c r="J15" s="352">
        <f>IF(ISNUMBER((Tasas!D15-Datos!BF15)/Datos!BF15),(Tasas!D15-Datos!BF15)/Datos!BF15," - ")</f>
        <v>2.8572997893620802E-2</v>
      </c>
      <c r="K15" s="354">
        <f>IF(ISNUMBER((Tasas!E15-Datos!BG15)/Datos!BG15),(Tasas!E15-Datos!BG15)/Datos!BG15," - ")</f>
        <v>8.4811658176777854E-2</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-1</v>
      </c>
      <c r="E16" s="351" t="str">
        <f>IF(ISNUMBER(
   IF(D_I="SI",(Datos!J16-Datos!T16)/Datos!T16,(Datos!J16+Datos!AD16-(Datos!T16+Datos!AL16))/(Datos!T16+Datos!AL16))
     ),IF(D_I="SI",(Datos!J16-Datos!T16)/Datos!T16,(Datos!J16+Datos!AD16-(Datos!T16+Datos!AL16))/(Datos!T16+Datos!AL16))," - ")</f>
        <v xml:space="preserve"> - </v>
      </c>
      <c r="F16" s="351">
        <f>IF(ISNUMBER(
   IF(D_I="SI",(Datos!K16-Datos!U16)/Datos!U16,(Datos!K16+Datos!AE16-(Datos!U16+Datos!AM16))/(Datos!U16+Datos!AM16))
     ),IF(D_I="SI",(Datos!K16-Datos!U16)/Datos!U16,(Datos!K16+Datos!AE16-(Datos!U16+Datos!AM16))/(Datos!U16+Datos!AM16))," - ")</f>
        <v>-1</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0.30622009569377989</v>
      </c>
      <c r="E17" s="351">
        <f>IF(ISNUMBER(
   IF(D_I="SI",(Datos!J17-Datos!T17)/Datos!T17,(Datos!J17+Datos!AD17-(Datos!T17+Datos!AL17))/(Datos!T17+Datos!AL17))
     ),IF(D_I="SI",(Datos!J17-Datos!T17)/Datos!T17,(Datos!J17+Datos!AD17-(Datos!T17+Datos!AL17))/(Datos!T17+Datos!AL17))," - ")</f>
        <v>-3.6523929471032744E-2</v>
      </c>
      <c r="F17" s="351">
        <f>IF(ISNUMBER(
   IF(D_I="SI",(Datos!K17-Datos!U17)/Datos!U17,(Datos!K17+Datos!AE17-(Datos!U17+Datos!AM17))/(Datos!U17+Datos!AM17))
     ),IF(D_I="SI",(Datos!K17-Datos!U17)/Datos!U17,(Datos!K17+Datos!AE17-(Datos!U17+Datos!AM17))/(Datos!U17+Datos!AM17))," - ")</f>
        <v>-5.8398950131233598E-2</v>
      </c>
      <c r="G17" s="352">
        <f>IF(ISNUMBER(
   IF(D_I="SI",(Datos!L17-Datos!V17)/Datos!V17,(Datos!L17+Datos!AF17-(Datos!V17+Datos!AN17))/(Datos!V17+Datos!AN17))
     ),IF(D_I="SI",(Datos!L17-Datos!V17)/Datos!V17,(Datos!L17+Datos!AF17-(Datos!V17+Datos!AN17))/(Datos!V17+Datos!AN17))," - ")</f>
        <v>0.34798534798534797</v>
      </c>
      <c r="H17" s="233">
        <f>IF(ISNUMBER((Datos!M17-Datos!W17)/Datos!W17),(Datos!M17-Datos!W17)/Datos!W17," - ")</f>
        <v>0.10116731517509728</v>
      </c>
      <c r="I17" s="353">
        <f>IF(ISNUMBER((Tasas!C17-Datos!BE17)/Datos!BE17),(Tasas!C17-Datos!BE17)/Datos!BE17," - ")</f>
        <v>0.43158862043879481</v>
      </c>
      <c r="J17" s="352">
        <f>IF(ISNUMBER((Tasas!D17-Datos!BF17)/Datos!BF17),(Tasas!D17-Datos!BF17)/Datos!BF17," - ")</f>
        <v>0.16946270963543442</v>
      </c>
      <c r="K17" s="354">
        <f>IF(ISNUMBER((Tasas!E17-Datos!BG17)/Datos!BG17),(Tasas!E17-Datos!BG17)/Datos!BG17," - ")</f>
        <v>6.5566885575843739E-2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0.35428571428571426</v>
      </c>
      <c r="E18" s="357">
        <f>IF(ISNUMBER(
   IF(D_I="SI",(Datos!J18-Datos!T18)/Datos!T18,(Datos!J18+Datos!AD18-(Datos!T18+Datos!AL18))/(Datos!T18+Datos!AL18))
     ),IF(D_I="SI",(Datos!J18-Datos!T18)/Datos!T18,(Datos!J18+Datos!AD18-(Datos!T18+Datos!AL18))/(Datos!T18+Datos!AL18))," - ")</f>
        <v>-5.4609403924472414E-3</v>
      </c>
      <c r="F18" s="357">
        <f>IF(ISNUMBER(
   IF(D_I="SI",(Datos!K18-Datos!U18)/Datos!U18,(Datos!K18+Datos!AE18-(Datos!U18+Datos!AM18))/(Datos!U18+Datos!AM18))
     ),IF(D_I="SI",(Datos!K18-Datos!U18)/Datos!U18,(Datos!K18+Datos!AE18-(Datos!U18+Datos!AM18))/(Datos!U18+Datos!AM18))," - ")</f>
        <v>-3.0979055041402824E-2</v>
      </c>
      <c r="G18" s="358">
        <f>IF(ISNUMBER(
   IF(D_I="SI",(Datos!L18-Datos!V18)/Datos!V18,(Datos!L18+Datos!AF18-(Datos!V18+Datos!AN18))/(Datos!V18+Datos!AN18))
     ),IF(D_I="SI",(Datos!L18-Datos!V18)/Datos!V18,(Datos!L18+Datos!AF18-(Datos!V18+Datos!AN18))/(Datos!V18+Datos!AN18))," - ")</f>
        <v>0.34292289988492519</v>
      </c>
      <c r="H18" s="359">
        <f>IF(ISNUMBER((Datos!M18-Datos!W18)/Datos!W18),(Datos!M18-Datos!W18)/Datos!W18," - ")</f>
        <v>1.5474919957310566E-2</v>
      </c>
      <c r="I18" s="360">
        <f>IF(ISNUMBER((Tasas!C18-Datos!BE18)/Datos!BE18),(Tasas!C18-Datos!BE18)/Datos!BE18," - ")</f>
        <v>0.38585539030046823</v>
      </c>
      <c r="J18" s="358">
        <f>IF(ISNUMBER((Tasas!D18-Datos!BF18)/Datos!BF18),(Tasas!D18-Datos!BF18)/Datos!BF18," - ")</f>
        <v>4.7939082473287778E-2</v>
      </c>
      <c r="K18" s="361">
        <f>IF(ISNUMBER((Tasas!E18-Datos!BG18)/Datos!BG18),(Tasas!E18-Datos!BG18)/Datos!BG18," - ")</f>
        <v>8.2477487348829842E-2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0.31254676976802193</v>
      </c>
      <c r="E19" s="366">
        <f>IF(ISNUMBER(
   IF(J_V="SI",(Datos!J19-Datos!T19)/Datos!T19,(Datos!J19+Datos!Z19-(Datos!T19+Datos!AH19))/(Datos!T19+Datos!AH19))
     ),IF(J_V="SI",(Datos!J19-Datos!T19)/Datos!T19,(Datos!J19+Datos!Z19-(Datos!T19+Datos!AH19))/(Datos!T19+Datos!AH19))," - ")</f>
        <v>9.3541412052270383E-3</v>
      </c>
      <c r="F19" s="366">
        <f>IF(ISNUMBER(
   IF(J_V="SI",(Datos!K19-Datos!U19)/Datos!U19,(Datos!K19+Datos!AA19-(Datos!U19+Datos!AI19))/(Datos!U19+Datos!AI19))
     ),IF(J_V="SI",(Datos!K19-Datos!U19)/Datos!U19,(Datos!K19+Datos!AA19-(Datos!U19+Datos!AI19))/(Datos!U19+Datos!AI19))," - ")</f>
        <v>-5.605463619648017E-2</v>
      </c>
      <c r="G19" s="367">
        <f>IF(ISNUMBER(
   IF(J_V="SI",(Datos!L19-Datos!V19)/Datos!V19,(Datos!L19+Datos!AB19-(Datos!V19+Datos!AJ19))/(Datos!V19+Datos!AJ19))
     ),IF(J_V="SI",(Datos!L19-Datos!V19)/Datos!V19,(Datos!L19+Datos!AB19-(Datos!V19+Datos!AJ19))/(Datos!V19+Datos!AJ19))," - ")</f>
        <v>0.34207525655644244</v>
      </c>
      <c r="H19" s="368">
        <f>IF(ISNUMBER((Datos!M19-Datos!W19)/Datos!W19),(Datos!M19-Datos!W19)/Datos!W19," - ")</f>
        <v>-7.1583514099783085E-2</v>
      </c>
      <c r="I19" s="365">
        <f>IF(ISNUMBER((Tasas!C19-Datos!BE19)/Datos!BE19),(Tasas!C19-Datos!BE19)/Datos!BE19," - ")</f>
        <v>0.4217721787929587</v>
      </c>
      <c r="J19" s="366">
        <f>IF(ISNUMBER((Tasas!D19-Datos!BF19)/Datos!BF19),(Tasas!D19-Datos!BF19)/Datos!BF19," - ")</f>
        <v>-0.35765387211800975</v>
      </c>
      <c r="K19" s="367">
        <f>IF(ISNUMBER((Tasas!E19-Datos!BG19)/Datos!BG19),(Tasas!E19-Datos!BG19)/Datos!BG19," - ")</f>
        <v>0.15721319785403925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0.62160881828976844</v>
      </c>
      <c r="E21" s="281">
        <f t="shared" si="1"/>
        <v>5.2703073673278138E-2</v>
      </c>
      <c r="F21" s="281">
        <f t="shared" si="1"/>
        <v>0.42562286056721998</v>
      </c>
      <c r="G21" s="282">
        <f t="shared" si="1"/>
        <v>3.778887451799065E-2</v>
      </c>
      <c r="H21" s="288">
        <f t="shared" si="1"/>
        <v>0.12572346587622701</v>
      </c>
      <c r="I21" s="280">
        <f t="shared" si="1"/>
        <v>4.2180415233382347E-2</v>
      </c>
      <c r="J21" s="281">
        <f t="shared" si="1"/>
        <v>0.31965919099584167</v>
      </c>
      <c r="K21" s="282">
        <f t="shared" si="1"/>
        <v>8.0621656782670831E-2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5yUTJl1B3om8Dhq9NX374ljQsw5aoTxWOqWDefZIcTf73lgenp7NFCBjfqAXvyCZKOSDGWmBiUPEnJ+WcaN9rQ==" saltValue="Ajb5s+NBVUuM4Fc+runW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